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cuments\آموزش مجازی\کاربرد قوانین و مقررات\مالیات حقوق\"/>
    </mc:Choice>
  </mc:AlternateContent>
  <xr:revisionPtr revIDLastSave="0" documentId="13_ncr:1_{81B9DA4F-F548-44BE-BD3F-F522DB0633E8}" xr6:coauthVersionLast="47" xr6:coauthVersionMax="47" xr10:uidLastSave="{00000000-0000-0000-0000-000000000000}"/>
  <bookViews>
    <workbookView showHorizontalScroll="0" showVerticalScroll="0" xWindow="-108" yWindow="-108" windowWidth="23256" windowHeight="12576" tabRatio="806" activeTab="2" xr2:uid="{00000000-000D-0000-FFFF-FFFF00000000}"/>
  </bookViews>
  <sheets>
    <sheet name="اطلاعات پايه" sheetId="1" r:id="rId1"/>
    <sheet name="جدول مالیات" sheetId="21" r:id="rId2"/>
    <sheet name="محاسبه داخلی" sheetId="17" r:id="rId3"/>
    <sheet name="ليست بيمه " sheetId="6" r:id="rId4"/>
    <sheet name="فيش حقوق" sheetId="2" r:id="rId5"/>
  </sheets>
  <definedNames>
    <definedName name="_xlnm._FilterDatabase" localSheetId="0" hidden="1">'اطلاعات پايه'!$A$2:$K$2</definedName>
    <definedName name="_xlnm.Print_Area" localSheetId="0">'اطلاعات پايه'!$B$1:$W$10</definedName>
    <definedName name="_xlnm.Print_Area" localSheetId="4">'فيش حقوق'!$A$1:$H$12</definedName>
    <definedName name="_xlnm.Print_Area" localSheetId="2">'محاسبه داخلی'!$A$1:$Y$25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2" l="1"/>
  <c r="H6" i="2"/>
  <c r="F11" i="2"/>
  <c r="F10" i="2"/>
  <c r="F7" i="2"/>
  <c r="F8" i="2"/>
  <c r="U9" i="17"/>
  <c r="U10" i="17"/>
  <c r="U11" i="17"/>
  <c r="U12" i="17"/>
  <c r="U13" i="17"/>
  <c r="U14" i="17"/>
  <c r="U15" i="17"/>
  <c r="U16" i="17"/>
  <c r="U17" i="17"/>
  <c r="U18" i="17"/>
  <c r="U20" i="17"/>
  <c r="U21" i="17"/>
  <c r="U19" i="17"/>
  <c r="I5" i="6"/>
  <c r="I6" i="6"/>
  <c r="I7" i="6"/>
  <c r="I8" i="6"/>
  <c r="I9" i="6"/>
  <c r="I10" i="6"/>
  <c r="I12" i="6"/>
  <c r="I13" i="6"/>
  <c r="I14" i="6"/>
  <c r="I15" i="6"/>
  <c r="I16" i="6"/>
  <c r="I17" i="6"/>
  <c r="I18" i="6"/>
  <c r="I19" i="6"/>
  <c r="I11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4" i="6"/>
  <c r="E20" i="6" s="1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4" i="6"/>
  <c r="D20" i="6" s="1"/>
  <c r="D3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4" i="6"/>
  <c r="C3" i="6"/>
  <c r="B3" i="6"/>
  <c r="A5" i="6"/>
  <c r="B5" i="6"/>
  <c r="A6" i="6"/>
  <c r="B6" i="6"/>
  <c r="A7" i="6"/>
  <c r="B7" i="6"/>
  <c r="A8" i="6"/>
  <c r="B8" i="6"/>
  <c r="A9" i="6"/>
  <c r="B9" i="6"/>
  <c r="A10" i="6"/>
  <c r="B10" i="6"/>
  <c r="A11" i="6"/>
  <c r="B11" i="6"/>
  <c r="A12" i="6"/>
  <c r="B12" i="6"/>
  <c r="A13" i="6"/>
  <c r="B13" i="6"/>
  <c r="A14" i="6"/>
  <c r="B14" i="6"/>
  <c r="A15" i="6"/>
  <c r="B15" i="6"/>
  <c r="A16" i="6"/>
  <c r="B16" i="6"/>
  <c r="A17" i="6"/>
  <c r="B17" i="6"/>
  <c r="A18" i="6"/>
  <c r="B18" i="6"/>
  <c r="A19" i="6"/>
  <c r="B19" i="6"/>
  <c r="Y7" i="17"/>
  <c r="Y8" i="17"/>
  <c r="L22" i="17"/>
  <c r="M22" i="17"/>
  <c r="O22" i="17"/>
  <c r="P22" i="17"/>
  <c r="S22" i="17"/>
  <c r="W22" i="17"/>
  <c r="X22" i="17"/>
  <c r="T7" i="17"/>
  <c r="T8" i="17"/>
  <c r="T9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K7" i="17"/>
  <c r="L7" i="17"/>
  <c r="M7" i="17"/>
  <c r="N7" i="17"/>
  <c r="O7" i="17"/>
  <c r="P7" i="17"/>
  <c r="Q7" i="17"/>
  <c r="R7" i="17"/>
  <c r="S7" i="17"/>
  <c r="K8" i="17"/>
  <c r="L8" i="17"/>
  <c r="M8" i="17"/>
  <c r="N8" i="17"/>
  <c r="O8" i="17"/>
  <c r="P8" i="17"/>
  <c r="Q8" i="17"/>
  <c r="R8" i="17"/>
  <c r="S8" i="17"/>
  <c r="K9" i="17"/>
  <c r="L9" i="17"/>
  <c r="M9" i="17"/>
  <c r="N9" i="17"/>
  <c r="O9" i="17"/>
  <c r="P9" i="17"/>
  <c r="Q9" i="17"/>
  <c r="R9" i="17"/>
  <c r="S9" i="17"/>
  <c r="K10" i="17"/>
  <c r="L10" i="17"/>
  <c r="M10" i="17"/>
  <c r="N10" i="17"/>
  <c r="O10" i="17"/>
  <c r="P10" i="17"/>
  <c r="Q10" i="17"/>
  <c r="R10" i="17"/>
  <c r="S10" i="17"/>
  <c r="K11" i="17"/>
  <c r="L11" i="17"/>
  <c r="M11" i="17"/>
  <c r="N11" i="17"/>
  <c r="O11" i="17"/>
  <c r="P11" i="17"/>
  <c r="Q11" i="17"/>
  <c r="R11" i="17"/>
  <c r="S11" i="17"/>
  <c r="K12" i="17"/>
  <c r="L12" i="17"/>
  <c r="M12" i="17"/>
  <c r="N12" i="17"/>
  <c r="O12" i="17"/>
  <c r="P12" i="17"/>
  <c r="Q12" i="17"/>
  <c r="R12" i="17"/>
  <c r="S12" i="17"/>
  <c r="K13" i="17"/>
  <c r="L13" i="17"/>
  <c r="M13" i="17"/>
  <c r="N13" i="17"/>
  <c r="O13" i="17"/>
  <c r="P13" i="17"/>
  <c r="Q13" i="17"/>
  <c r="R13" i="17"/>
  <c r="S13" i="17"/>
  <c r="K14" i="17"/>
  <c r="L14" i="17"/>
  <c r="M14" i="17"/>
  <c r="N14" i="17"/>
  <c r="O14" i="17"/>
  <c r="P14" i="17"/>
  <c r="Q14" i="17"/>
  <c r="R14" i="17"/>
  <c r="S14" i="17"/>
  <c r="K15" i="17"/>
  <c r="L15" i="17"/>
  <c r="M15" i="17"/>
  <c r="N15" i="17"/>
  <c r="O15" i="17"/>
  <c r="P15" i="17"/>
  <c r="Q15" i="17"/>
  <c r="R15" i="17"/>
  <c r="S15" i="17"/>
  <c r="K16" i="17"/>
  <c r="L16" i="17"/>
  <c r="M16" i="17"/>
  <c r="N16" i="17"/>
  <c r="O16" i="17"/>
  <c r="P16" i="17"/>
  <c r="Q16" i="17"/>
  <c r="R16" i="17"/>
  <c r="S16" i="17"/>
  <c r="K17" i="17"/>
  <c r="L17" i="17"/>
  <c r="M17" i="17"/>
  <c r="N17" i="17"/>
  <c r="O17" i="17"/>
  <c r="P17" i="17"/>
  <c r="Q17" i="17"/>
  <c r="R17" i="17"/>
  <c r="S17" i="17"/>
  <c r="K18" i="17"/>
  <c r="L18" i="17"/>
  <c r="M18" i="17"/>
  <c r="N18" i="17"/>
  <c r="O18" i="17"/>
  <c r="P18" i="17"/>
  <c r="Q18" i="17"/>
  <c r="R18" i="17"/>
  <c r="S18" i="17"/>
  <c r="K19" i="17"/>
  <c r="L19" i="17"/>
  <c r="M19" i="17"/>
  <c r="N19" i="17"/>
  <c r="O19" i="17"/>
  <c r="P19" i="17"/>
  <c r="Q19" i="17"/>
  <c r="R19" i="17"/>
  <c r="S19" i="17"/>
  <c r="K20" i="17"/>
  <c r="L20" i="17"/>
  <c r="M20" i="17"/>
  <c r="N20" i="17"/>
  <c r="O20" i="17"/>
  <c r="P20" i="17"/>
  <c r="Q20" i="17"/>
  <c r="R20" i="17"/>
  <c r="S20" i="17"/>
  <c r="K21" i="17"/>
  <c r="L21" i="17"/>
  <c r="M21" i="17"/>
  <c r="N21" i="17"/>
  <c r="O21" i="17"/>
  <c r="P21" i="17"/>
  <c r="Q21" i="17"/>
  <c r="R21" i="17"/>
  <c r="S21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A7" i="17"/>
  <c r="B7" i="17"/>
  <c r="C7" i="17"/>
  <c r="D7" i="17"/>
  <c r="E7" i="17"/>
  <c r="F7" i="17"/>
  <c r="G7" i="17"/>
  <c r="H7" i="17"/>
  <c r="A8" i="17"/>
  <c r="B8" i="17"/>
  <c r="C8" i="17"/>
  <c r="D8" i="17"/>
  <c r="E8" i="17"/>
  <c r="F8" i="17"/>
  <c r="G8" i="17"/>
  <c r="H8" i="17"/>
  <c r="A9" i="17"/>
  <c r="B9" i="17"/>
  <c r="C9" i="17"/>
  <c r="D9" i="17"/>
  <c r="E9" i="17"/>
  <c r="F9" i="17"/>
  <c r="G9" i="17"/>
  <c r="H9" i="17"/>
  <c r="A10" i="17"/>
  <c r="B10" i="17"/>
  <c r="C10" i="17"/>
  <c r="D10" i="17"/>
  <c r="E10" i="17"/>
  <c r="F10" i="17"/>
  <c r="G10" i="17"/>
  <c r="H10" i="17"/>
  <c r="A11" i="17"/>
  <c r="B11" i="17"/>
  <c r="C11" i="17"/>
  <c r="D11" i="17"/>
  <c r="E11" i="17"/>
  <c r="F11" i="17"/>
  <c r="G11" i="17"/>
  <c r="H11" i="17"/>
  <c r="A12" i="17"/>
  <c r="B12" i="17"/>
  <c r="C12" i="17"/>
  <c r="D12" i="17"/>
  <c r="E12" i="17"/>
  <c r="F12" i="17"/>
  <c r="G12" i="17"/>
  <c r="H12" i="17"/>
  <c r="A13" i="17"/>
  <c r="B13" i="17"/>
  <c r="C13" i="17"/>
  <c r="D13" i="17"/>
  <c r="E13" i="17"/>
  <c r="F13" i="17"/>
  <c r="G13" i="17"/>
  <c r="H13" i="17"/>
  <c r="A14" i="17"/>
  <c r="B14" i="17"/>
  <c r="C14" i="17"/>
  <c r="D14" i="17"/>
  <c r="E14" i="17"/>
  <c r="F14" i="17"/>
  <c r="G14" i="17"/>
  <c r="H14" i="17"/>
  <c r="A15" i="17"/>
  <c r="B15" i="17"/>
  <c r="C15" i="17"/>
  <c r="D15" i="17"/>
  <c r="E15" i="17"/>
  <c r="F15" i="17"/>
  <c r="G15" i="17"/>
  <c r="H15" i="17"/>
  <c r="A16" i="17"/>
  <c r="B16" i="17"/>
  <c r="C16" i="17"/>
  <c r="D16" i="17"/>
  <c r="E16" i="17"/>
  <c r="F16" i="17"/>
  <c r="G16" i="17"/>
  <c r="H16" i="17"/>
  <c r="A17" i="17"/>
  <c r="B17" i="17"/>
  <c r="C17" i="17"/>
  <c r="D17" i="17"/>
  <c r="E17" i="17"/>
  <c r="F17" i="17"/>
  <c r="G17" i="17"/>
  <c r="H17" i="17"/>
  <c r="A18" i="17"/>
  <c r="B18" i="17"/>
  <c r="C18" i="17"/>
  <c r="D18" i="17"/>
  <c r="E18" i="17"/>
  <c r="F18" i="17"/>
  <c r="G18" i="17"/>
  <c r="H18" i="17"/>
  <c r="A19" i="17"/>
  <c r="B19" i="17"/>
  <c r="C19" i="17"/>
  <c r="D19" i="17"/>
  <c r="E19" i="17"/>
  <c r="F19" i="17"/>
  <c r="G19" i="17"/>
  <c r="H19" i="17"/>
  <c r="A20" i="17"/>
  <c r="B20" i="17"/>
  <c r="C20" i="17"/>
  <c r="D20" i="17"/>
  <c r="E20" i="17"/>
  <c r="F20" i="17"/>
  <c r="G20" i="17"/>
  <c r="H20" i="17"/>
  <c r="A21" i="17"/>
  <c r="B21" i="17"/>
  <c r="C21" i="17"/>
  <c r="D21" i="17"/>
  <c r="E21" i="17"/>
  <c r="F21" i="17"/>
  <c r="G21" i="17"/>
  <c r="H21" i="17"/>
  <c r="H6" i="17"/>
  <c r="I20" i="17"/>
  <c r="I21" i="17"/>
  <c r="N17" i="1"/>
  <c r="N18" i="1"/>
  <c r="W17" i="1"/>
  <c r="X17" i="1"/>
  <c r="Y17" i="1"/>
  <c r="W18" i="1"/>
  <c r="X18" i="1"/>
  <c r="Y18" i="1" s="1"/>
  <c r="N16" i="1" l="1"/>
  <c r="I19" i="17"/>
  <c r="W16" i="1"/>
  <c r="X16" i="1"/>
  <c r="Y16" i="1" s="1"/>
  <c r="V20" i="17" l="1"/>
  <c r="Y20" i="17" s="1"/>
  <c r="V21" i="17"/>
  <c r="Y21" i="17" s="1"/>
  <c r="V19" i="17" l="1"/>
  <c r="N14" i="1"/>
  <c r="N15" i="1"/>
  <c r="I18" i="17"/>
  <c r="D8" i="2"/>
  <c r="A2" i="2"/>
  <c r="B4" i="6"/>
  <c r="A4" i="6"/>
  <c r="A2" i="6"/>
  <c r="I17" i="17"/>
  <c r="I16" i="17"/>
  <c r="I15" i="17"/>
  <c r="I14" i="17"/>
  <c r="I13" i="17"/>
  <c r="I12" i="17"/>
  <c r="I11" i="17"/>
  <c r="I10" i="17"/>
  <c r="I9" i="17"/>
  <c r="I8" i="17"/>
  <c r="I7" i="17"/>
  <c r="S6" i="17"/>
  <c r="R6" i="17"/>
  <c r="M6" i="17"/>
  <c r="J6" i="17"/>
  <c r="N6" i="17" s="1"/>
  <c r="I6" i="17"/>
  <c r="G6" i="17"/>
  <c r="F6" i="17"/>
  <c r="E6" i="17"/>
  <c r="D6" i="17"/>
  <c r="P6" i="17" s="1"/>
  <c r="C6" i="17"/>
  <c r="B6" i="17"/>
  <c r="A6" i="17"/>
  <c r="M5" i="17"/>
  <c r="L5" i="17"/>
  <c r="A3" i="17"/>
  <c r="A8" i="21"/>
  <c r="D8" i="21" s="1"/>
  <c r="A7" i="21"/>
  <c r="D7" i="21" s="1"/>
  <c r="A6" i="21"/>
  <c r="D6" i="21" s="1"/>
  <c r="A5" i="21"/>
  <c r="D5" i="21" s="1"/>
  <c r="A4" i="21"/>
  <c r="D4" i="21" s="1"/>
  <c r="A3" i="21"/>
  <c r="D2" i="21"/>
  <c r="X14" i="1"/>
  <c r="Y14" i="1" s="1"/>
  <c r="W14" i="1"/>
  <c r="X13" i="1"/>
  <c r="Y13" i="1" s="1"/>
  <c r="W13" i="1"/>
  <c r="N13" i="1"/>
  <c r="X12" i="1"/>
  <c r="Y12" i="1" s="1"/>
  <c r="W12" i="1"/>
  <c r="N12" i="1"/>
  <c r="X11" i="1"/>
  <c r="Y11" i="1" s="1"/>
  <c r="W11" i="1"/>
  <c r="N11" i="1"/>
  <c r="X10" i="1"/>
  <c r="Y10" i="1" s="1"/>
  <c r="W10" i="1"/>
  <c r="N10" i="1"/>
  <c r="X9" i="1"/>
  <c r="Y9" i="1" s="1"/>
  <c r="W9" i="1"/>
  <c r="N9" i="1"/>
  <c r="X8" i="1"/>
  <c r="Y8" i="1" s="1"/>
  <c r="W8" i="1"/>
  <c r="N8" i="1"/>
  <c r="X7" i="1"/>
  <c r="Y7" i="1" s="1"/>
  <c r="W7" i="1"/>
  <c r="N7" i="1"/>
  <c r="X6" i="1"/>
  <c r="Y6" i="1" s="1"/>
  <c r="W6" i="1"/>
  <c r="N6" i="1"/>
  <c r="X5" i="1"/>
  <c r="Y5" i="1" s="1"/>
  <c r="W5" i="1"/>
  <c r="N5" i="1"/>
  <c r="X4" i="1"/>
  <c r="Y4" i="1" s="1"/>
  <c r="W4" i="1"/>
  <c r="N4" i="1"/>
  <c r="X3" i="1"/>
  <c r="Y3" i="1" s="1"/>
  <c r="W3" i="1"/>
  <c r="N3" i="1"/>
  <c r="F9" i="2" l="1"/>
  <c r="R22" i="17"/>
  <c r="F6" i="2"/>
  <c r="N22" i="17"/>
  <c r="Y19" i="17"/>
  <c r="G18" i="6"/>
  <c r="L6" i="17"/>
  <c r="O6" i="17"/>
  <c r="X15" i="1"/>
  <c r="Y15" i="1" s="1"/>
  <c r="B5" i="2"/>
  <c r="B6" i="2"/>
  <c r="W15" i="1"/>
  <c r="Q6" i="17"/>
  <c r="K6" i="17"/>
  <c r="K22" i="17" s="1"/>
  <c r="B7" i="2"/>
  <c r="D7" i="2"/>
  <c r="D6" i="2"/>
  <c r="D5" i="2"/>
  <c r="D4" i="2"/>
  <c r="D3" i="21"/>
  <c r="Q22" i="17" l="1"/>
  <c r="F5" i="2"/>
  <c r="F4" i="6"/>
  <c r="F20" i="6" s="1"/>
  <c r="U7" i="17"/>
  <c r="U8" i="17"/>
  <c r="V18" i="17"/>
  <c r="Y18" i="17" s="1"/>
  <c r="T6" i="17"/>
  <c r="U6" i="17" s="1"/>
  <c r="G13" i="6"/>
  <c r="G6" i="6"/>
  <c r="C20" i="6"/>
  <c r="G11" i="6"/>
  <c r="G15" i="6"/>
  <c r="G17" i="6"/>
  <c r="G12" i="6"/>
  <c r="G8" i="6"/>
  <c r="G7" i="6"/>
  <c r="F4" i="2"/>
  <c r="V6" i="17" l="1"/>
  <c r="H4" i="6"/>
  <c r="H20" i="6" s="1"/>
  <c r="T22" i="17"/>
  <c r="U24" i="17" s="1"/>
  <c r="I22" i="6" s="1"/>
  <c r="V7" i="17"/>
  <c r="V11" i="17"/>
  <c r="Y11" i="17" s="1"/>
  <c r="V9" i="17"/>
  <c r="V15" i="17"/>
  <c r="Y15" i="17" s="1"/>
  <c r="V16" i="17"/>
  <c r="Y16" i="17" s="1"/>
  <c r="V13" i="17"/>
  <c r="Y13" i="17" s="1"/>
  <c r="V8" i="17"/>
  <c r="V17" i="17"/>
  <c r="Y17" i="17" s="1"/>
  <c r="V12" i="17"/>
  <c r="Y12" i="17" s="1"/>
  <c r="V14" i="17"/>
  <c r="Y14" i="17" s="1"/>
  <c r="V10" i="17"/>
  <c r="Y10" i="17" s="1"/>
  <c r="G16" i="6"/>
  <c r="G9" i="6"/>
  <c r="G4" i="6"/>
  <c r="I4" i="6" s="1"/>
  <c r="F12" i="2"/>
  <c r="G10" i="6"/>
  <c r="G5" i="6"/>
  <c r="G14" i="6"/>
  <c r="G19" i="6"/>
  <c r="U22" i="17" l="1"/>
  <c r="U23" i="17" s="1"/>
  <c r="I21" i="6" s="1"/>
  <c r="H4" i="2"/>
  <c r="Y9" i="17"/>
  <c r="I20" i="6"/>
  <c r="G20" i="6"/>
  <c r="H5" i="2"/>
  <c r="H12" i="2" l="1"/>
  <c r="B12" i="2" s="1"/>
  <c r="V22" i="17"/>
  <c r="Y6" i="17"/>
  <c r="Y22" i="17" s="1"/>
  <c r="I23" i="6"/>
  <c r="U25" i="17"/>
  <c r="R25" i="17"/>
  <c r="G23" i="6"/>
  <c r="G25" i="6" l="1"/>
</calcChain>
</file>

<file path=xl/sharedStrings.xml><?xml version="1.0" encoding="utf-8"?>
<sst xmlns="http://schemas.openxmlformats.org/spreadsheetml/2006/main" count="136" uniqueCount="106">
  <si>
    <t>ماموريت</t>
  </si>
  <si>
    <t>اولاد</t>
  </si>
  <si>
    <t>نام و نام خانوادگي</t>
  </si>
  <si>
    <t>شماره پرسنلي</t>
  </si>
  <si>
    <t>مشخصات فردي</t>
  </si>
  <si>
    <t>كاركردها</t>
  </si>
  <si>
    <t>پرداختها</t>
  </si>
  <si>
    <t>كسورات</t>
  </si>
  <si>
    <t>حقوق روزانه</t>
  </si>
  <si>
    <t>نرخ اضافه كاري</t>
  </si>
  <si>
    <t>خوار و بار و مسكن</t>
  </si>
  <si>
    <t>عائله مندي</t>
  </si>
  <si>
    <t>اضافه كاري</t>
  </si>
  <si>
    <t>حق ماموريت</t>
  </si>
  <si>
    <t>بيمه</t>
  </si>
  <si>
    <t>ماليات</t>
  </si>
  <si>
    <t>جمع پرداختها</t>
  </si>
  <si>
    <t>جمع كسورات</t>
  </si>
  <si>
    <t>مبلغ قابل دريافت</t>
  </si>
  <si>
    <t>حق اولاد</t>
  </si>
  <si>
    <t>اضافه كار</t>
  </si>
  <si>
    <t>جمع حقوق و مزايا</t>
  </si>
  <si>
    <t>خالص پرداختي</t>
  </si>
  <si>
    <t>جمع</t>
  </si>
  <si>
    <t>جمع حق بیمه</t>
  </si>
  <si>
    <t>رديف</t>
  </si>
  <si>
    <t>نرخ اضافه كار</t>
  </si>
  <si>
    <t>ماموریت</t>
  </si>
  <si>
    <t>مرخصي</t>
  </si>
  <si>
    <t>مشمول بيمه</t>
  </si>
  <si>
    <t>مشمول ماليات</t>
  </si>
  <si>
    <t>وام</t>
  </si>
  <si>
    <t>مزاياي مشمول</t>
  </si>
  <si>
    <t>جمع دستمزد و مزاياي مشمول ماهانه</t>
  </si>
  <si>
    <t>جمع كل دستمزد</t>
  </si>
  <si>
    <t>حق بيمه</t>
  </si>
  <si>
    <t>بيمه سهم كارفرما</t>
  </si>
  <si>
    <t>بيمه بيكاري</t>
  </si>
  <si>
    <t>جمع كل</t>
  </si>
  <si>
    <t>كســـــــــورات</t>
  </si>
  <si>
    <t>اطلاعات پرسنلي</t>
  </si>
  <si>
    <t xml:space="preserve">حسابدار </t>
  </si>
  <si>
    <t xml:space="preserve">حق مسكن </t>
  </si>
  <si>
    <t>مسكن</t>
  </si>
  <si>
    <t>بن</t>
  </si>
  <si>
    <t>جمع حقـــــــــــــــوق و مزايا</t>
  </si>
  <si>
    <t xml:space="preserve">حقوق و مزاياي پرسنل </t>
  </si>
  <si>
    <t>ساعت اضافه كار</t>
  </si>
  <si>
    <t>مدیر عامل</t>
  </si>
  <si>
    <t>کارفرما20%</t>
  </si>
  <si>
    <t xml:space="preserve">مدیر عامل </t>
  </si>
  <si>
    <t>قسط وام</t>
  </si>
  <si>
    <t xml:space="preserve">حق بیمه </t>
  </si>
  <si>
    <t>فوق العاده ماموریت</t>
  </si>
  <si>
    <t>شماره پرسنلی</t>
  </si>
  <si>
    <t>اضافه كاري(ساعت)</t>
  </si>
  <si>
    <t>كاركرد (روز)</t>
  </si>
  <si>
    <t>ماموريت (روز)</t>
  </si>
  <si>
    <t>کارگر ساده</t>
  </si>
  <si>
    <t>جمع حقوق ماهانه بدون اضافه کار</t>
  </si>
  <si>
    <t>حسابدار</t>
  </si>
  <si>
    <t>حقوق ساعتی</t>
  </si>
  <si>
    <t>کارکرد روزانه</t>
  </si>
  <si>
    <t>کارکرد ساعتی</t>
  </si>
  <si>
    <t>حقوق ماهانه/ ساعتی</t>
  </si>
  <si>
    <t>شبکاری</t>
  </si>
  <si>
    <t>اضافه کار (ساعت)</t>
  </si>
  <si>
    <t>شبکاری (ساعت)</t>
  </si>
  <si>
    <t>بیمه بیکاری 3%</t>
  </si>
  <si>
    <t>حقوق ماهانه</t>
  </si>
  <si>
    <t>فيش حقوق و دستمزد كاركنان کبیر پلیمر</t>
  </si>
  <si>
    <t>ردیف</t>
  </si>
  <si>
    <t>مرخصی</t>
  </si>
  <si>
    <t>عنوان شغل</t>
  </si>
  <si>
    <t>مساعده</t>
  </si>
  <si>
    <t>کارکرد بیمه</t>
  </si>
  <si>
    <t>فوق العاده مدیریت</t>
  </si>
  <si>
    <t>آزمایشگاه</t>
  </si>
  <si>
    <t>جمع هزینه سالانه</t>
  </si>
  <si>
    <t>میانگین هزینه ماهانه</t>
  </si>
  <si>
    <t>حقوق ثابت ماهانه</t>
  </si>
  <si>
    <t>شبکاری ثابت ماهانه</t>
  </si>
  <si>
    <t>تعداد اولاد</t>
  </si>
  <si>
    <t>از مبلغ</t>
  </si>
  <si>
    <t>تا مبلغ</t>
  </si>
  <si>
    <t>درصد مالیات</t>
  </si>
  <si>
    <t>مالیات سقف</t>
  </si>
  <si>
    <t>حق فنی</t>
  </si>
  <si>
    <t>حقوق اداره کار 1401</t>
  </si>
  <si>
    <t>اردیبهشت 1401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</si>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</sst>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_-* #,##0.00\-;_-* &quot;-&quot;??_-;_-@_-"/>
    <numFmt numFmtId="165" formatCode="#,##0_ ;[Red]\-#,##0\ "/>
    <numFmt numFmtId="166" formatCode="#,##0.00_ ;[Red]\-#,##0.00\ "/>
    <numFmt numFmtId="167" formatCode="_-* #,##0_-;_-* #,##0\-;_-* &quot;-&quot;??_-;_-@_-"/>
  </numFmts>
  <fonts count="26" x14ac:knownFonts="1">
    <font>
      <sz val="10"/>
      <name val="Arial"/>
      <charset val="178"/>
    </font>
    <font>
      <sz val="10"/>
      <name val="Arial"/>
      <family val="2"/>
    </font>
    <font>
      <sz val="8"/>
      <name val="Arial"/>
      <family val="2"/>
    </font>
    <font>
      <sz val="12"/>
      <name val="B Zar"/>
      <charset val="178"/>
    </font>
    <font>
      <b/>
      <sz val="12"/>
      <name val="B Zar"/>
      <charset val="178"/>
    </font>
    <font>
      <b/>
      <sz val="10"/>
      <name val="Arial"/>
      <family val="2"/>
    </font>
    <font>
      <sz val="14"/>
      <name val="B Zar"/>
      <charset val="178"/>
    </font>
    <font>
      <b/>
      <sz val="14"/>
      <name val="B Zar"/>
      <charset val="178"/>
    </font>
    <font>
      <b/>
      <sz val="10"/>
      <name val="B Zar"/>
      <charset val="178"/>
    </font>
    <font>
      <b/>
      <sz val="16"/>
      <name val="B Zar"/>
      <charset val="178"/>
    </font>
    <font>
      <b/>
      <sz val="10"/>
      <name val="B Nazanin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14"/>
      <name val="B Nazanin"/>
      <charset val="178"/>
    </font>
    <font>
      <b/>
      <sz val="14"/>
      <name val="B Nazanin"/>
      <charset val="178"/>
    </font>
    <font>
      <sz val="12"/>
      <name val="B Nazanin"/>
      <charset val="178"/>
    </font>
    <font>
      <sz val="22"/>
      <name val="B Nazanin"/>
      <charset val="178"/>
    </font>
    <font>
      <b/>
      <sz val="12"/>
      <name val="B Nazanin"/>
      <charset val="178"/>
    </font>
    <font>
      <b/>
      <sz val="11"/>
      <name val="B Zar"/>
      <charset val="178"/>
    </font>
    <font>
      <b/>
      <sz val="20"/>
      <name val="B Nazanin"/>
      <charset val="178"/>
    </font>
    <font>
      <sz val="10"/>
      <name val="Arial"/>
      <family val="2"/>
    </font>
    <font>
      <b/>
      <sz val="18"/>
      <name val="B Zar"/>
      <charset val="178"/>
    </font>
    <font>
      <b/>
      <sz val="11"/>
      <name val="B Nazanin"/>
      <charset val="178"/>
    </font>
    <font>
      <b/>
      <sz val="16"/>
      <name val="B Nazanin"/>
      <charset val="178"/>
    </font>
    <font>
      <sz val="16"/>
      <name val="B Nazanin"/>
      <charset val="178"/>
    </font>
    <font>
      <b/>
      <sz val="18"/>
      <name val="B Titr"/>
      <charset val="17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0" fontId="6" fillId="0" borderId="0" xfId="0" applyFont="1"/>
    <xf numFmtId="3" fontId="3" fillId="0" borderId="0" xfId="0" applyNumberFormat="1" applyFont="1"/>
    <xf numFmtId="0" fontId="7" fillId="0" borderId="0" xfId="0" applyFont="1" applyAlignment="1">
      <alignment vertical="center" wrapText="1"/>
    </xf>
    <xf numFmtId="37" fontId="7" fillId="0" borderId="1" xfId="0" applyNumberFormat="1" applyFont="1" applyBorder="1" applyAlignment="1">
      <alignment horizontal="center" vertical="center" wrapText="1"/>
    </xf>
    <xf numFmtId="37" fontId="7" fillId="0" borderId="1" xfId="1" applyNumberFormat="1" applyFont="1" applyBorder="1" applyAlignment="1">
      <alignment horizontal="center" vertical="center" wrapText="1"/>
    </xf>
    <xf numFmtId="37" fontId="4" fillId="0" borderId="1" xfId="1" applyNumberFormat="1" applyFont="1" applyBorder="1" applyAlignment="1">
      <alignment horizontal="center" vertical="center" wrapText="1"/>
    </xf>
    <xf numFmtId="37" fontId="6" fillId="0" borderId="1" xfId="0" applyNumberFormat="1" applyFont="1" applyBorder="1" applyAlignment="1">
      <alignment horizontal="center"/>
    </xf>
    <xf numFmtId="37" fontId="6" fillId="0" borderId="1" xfId="1" applyNumberFormat="1" applyFont="1" applyBorder="1" applyAlignment="1">
      <alignment horizontal="center"/>
    </xf>
    <xf numFmtId="37" fontId="7" fillId="0" borderId="1" xfId="1" applyNumberFormat="1" applyFont="1" applyBorder="1" applyAlignment="1">
      <alignment horizontal="center"/>
    </xf>
    <xf numFmtId="37" fontId="6" fillId="0" borderId="0" xfId="0" applyNumberFormat="1" applyFont="1" applyAlignment="1">
      <alignment horizontal="center"/>
    </xf>
    <xf numFmtId="37" fontId="6" fillId="0" borderId="0" xfId="1" applyNumberFormat="1" applyFont="1" applyAlignment="1">
      <alignment horizontal="center"/>
    </xf>
    <xf numFmtId="37" fontId="7" fillId="0" borderId="1" xfId="0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37" fontId="6" fillId="3" borderId="0" xfId="1" applyNumberFormat="1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165" fontId="6" fillId="4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164" fontId="6" fillId="0" borderId="1" xfId="1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3" fontId="15" fillId="0" borderId="8" xfId="0" applyNumberFormat="1" applyFont="1" applyBorder="1" applyAlignment="1">
      <alignment horizontal="center"/>
    </xf>
    <xf numFmtId="3" fontId="15" fillId="0" borderId="9" xfId="1" applyNumberFormat="1" applyFont="1" applyBorder="1" applyAlignment="1">
      <alignment horizontal="center"/>
    </xf>
    <xf numFmtId="3" fontId="15" fillId="0" borderId="8" xfId="1" applyNumberFormat="1" applyFont="1" applyBorder="1" applyAlignment="1">
      <alignment horizontal="center"/>
    </xf>
    <xf numFmtId="4" fontId="15" fillId="0" borderId="9" xfId="1" applyNumberFormat="1" applyFont="1" applyBorder="1" applyAlignment="1">
      <alignment horizontal="center"/>
    </xf>
    <xf numFmtId="3" fontId="17" fillId="2" borderId="10" xfId="1" applyNumberFormat="1" applyFont="1" applyFill="1" applyBorder="1" applyAlignment="1">
      <alignment horizontal="center"/>
    </xf>
    <xf numFmtId="3" fontId="17" fillId="2" borderId="12" xfId="1" applyNumberFormat="1" applyFont="1" applyFill="1" applyBorder="1" applyAlignment="1">
      <alignment horizontal="center"/>
    </xf>
    <xf numFmtId="3" fontId="17" fillId="0" borderId="10" xfId="1" applyNumberFormat="1" applyFont="1" applyBorder="1" applyAlignment="1">
      <alignment horizontal="center"/>
    </xf>
    <xf numFmtId="3" fontId="15" fillId="0" borderId="12" xfId="1" applyNumberFormat="1" applyFont="1" applyBorder="1" applyAlignment="1">
      <alignment horizontal="center"/>
    </xf>
    <xf numFmtId="3" fontId="17" fillId="0" borderId="12" xfId="1" applyNumberFormat="1" applyFont="1" applyBorder="1" applyAlignment="1">
      <alignment horizontal="center"/>
    </xf>
    <xf numFmtId="0" fontId="19" fillId="0" borderId="2" xfId="0" applyFont="1" applyBorder="1" applyAlignment="1">
      <alignment vertical="center"/>
    </xf>
    <xf numFmtId="165" fontId="21" fillId="3" borderId="1" xfId="0" applyNumberFormat="1" applyFont="1" applyFill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167" fontId="19" fillId="0" borderId="2" xfId="1" applyNumberFormat="1" applyFont="1" applyBorder="1" applyAlignment="1">
      <alignment vertical="center"/>
    </xf>
    <xf numFmtId="39" fontId="6" fillId="0" borderId="0" xfId="1" applyNumberFormat="1" applyFont="1" applyAlignment="1">
      <alignment horizontal="center"/>
    </xf>
    <xf numFmtId="165" fontId="21" fillId="3" borderId="2" xfId="0" applyNumberFormat="1" applyFont="1" applyFill="1" applyBorder="1" applyAlignment="1">
      <alignment horizontal="center"/>
    </xf>
    <xf numFmtId="167" fontId="15" fillId="0" borderId="1" xfId="1" applyNumberFormat="1" applyFont="1" applyBorder="1" applyAlignment="1">
      <alignment horizontal="center"/>
    </xf>
    <xf numFmtId="9" fontId="15" fillId="0" borderId="1" xfId="2" applyFont="1" applyBorder="1" applyAlignment="1">
      <alignment horizontal="center"/>
    </xf>
    <xf numFmtId="0" fontId="15" fillId="0" borderId="0" xfId="0" applyFont="1"/>
    <xf numFmtId="167" fontId="15" fillId="0" borderId="1" xfId="0" applyNumberFormat="1" applyFont="1" applyBorder="1" applyAlignment="1">
      <alignment horizontal="center"/>
    </xf>
    <xf numFmtId="167" fontId="15" fillId="0" borderId="0" xfId="1" applyNumberFormat="1" applyFont="1"/>
    <xf numFmtId="9" fontId="15" fillId="0" borderId="0" xfId="2" applyFont="1"/>
    <xf numFmtId="0" fontId="17" fillId="0" borderId="0" xfId="0" applyFont="1"/>
    <xf numFmtId="167" fontId="17" fillId="3" borderId="1" xfId="1" applyNumberFormat="1" applyFont="1" applyFill="1" applyBorder="1" applyAlignment="1">
      <alignment horizontal="center"/>
    </xf>
    <xf numFmtId="9" fontId="17" fillId="3" borderId="1" xfId="2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8" fillId="5" borderId="1" xfId="0" applyFont="1" applyFill="1" applyBorder="1" applyAlignment="1">
      <alignment horizontal="center" vertical="center" wrapText="1"/>
    </xf>
    <xf numFmtId="38" fontId="0" fillId="4" borderId="0" xfId="0" applyNumberFormat="1" applyFill="1" applyAlignment="1">
      <alignment horizontal="center"/>
    </xf>
    <xf numFmtId="38" fontId="11" fillId="4" borderId="0" xfId="0" applyNumberFormat="1" applyFont="1" applyFill="1" applyAlignment="1">
      <alignment horizontal="center"/>
    </xf>
    <xf numFmtId="38" fontId="23" fillId="3" borderId="10" xfId="0" applyNumberFormat="1" applyFont="1" applyFill="1" applyBorder="1" applyAlignment="1">
      <alignment horizontal="center" vertical="center" textRotation="90" wrapText="1" shrinkToFit="1"/>
    </xf>
    <xf numFmtId="38" fontId="23" fillId="3" borderId="11" xfId="0" applyNumberFormat="1" applyFont="1" applyFill="1" applyBorder="1" applyAlignment="1">
      <alignment horizontal="center" vertical="center" wrapText="1" shrinkToFit="1"/>
    </xf>
    <xf numFmtId="38" fontId="14" fillId="3" borderId="11" xfId="0" applyNumberFormat="1" applyFont="1" applyFill="1" applyBorder="1" applyAlignment="1">
      <alignment horizontal="center" vertical="center" wrapText="1" shrinkToFit="1"/>
    </xf>
    <xf numFmtId="38" fontId="23" fillId="3" borderId="11" xfId="0" applyNumberFormat="1" applyFont="1" applyFill="1" applyBorder="1" applyAlignment="1">
      <alignment horizontal="center" vertical="center" textRotation="90" wrapText="1" shrinkToFit="1"/>
    </xf>
    <xf numFmtId="38" fontId="23" fillId="3" borderId="12" xfId="0" applyNumberFormat="1" applyFont="1" applyFill="1" applyBorder="1" applyAlignment="1">
      <alignment horizontal="center" vertical="center" wrapText="1" shrinkToFit="1"/>
    </xf>
    <xf numFmtId="38" fontId="23" fillId="7" borderId="10" xfId="0" applyNumberFormat="1" applyFont="1" applyFill="1" applyBorder="1" applyAlignment="1">
      <alignment horizontal="center" vertical="center" wrapText="1" shrinkToFit="1"/>
    </xf>
    <xf numFmtId="38" fontId="23" fillId="7" borderId="34" xfId="0" applyNumberFormat="1" applyFont="1" applyFill="1" applyBorder="1" applyAlignment="1">
      <alignment horizontal="center" vertical="center" wrapText="1" shrinkToFit="1"/>
    </xf>
    <xf numFmtId="38" fontId="23" fillId="7" borderId="11" xfId="0" applyNumberFormat="1" applyFont="1" applyFill="1" applyBorder="1" applyAlignment="1">
      <alignment horizontal="center" vertical="center" wrapText="1" shrinkToFit="1"/>
    </xf>
    <xf numFmtId="38" fontId="23" fillId="7" borderId="12" xfId="0" applyNumberFormat="1" applyFont="1" applyFill="1" applyBorder="1" applyAlignment="1">
      <alignment horizontal="center" vertical="center" wrapText="1" shrinkToFit="1"/>
    </xf>
    <xf numFmtId="38" fontId="23" fillId="6" borderId="10" xfId="0" applyNumberFormat="1" applyFont="1" applyFill="1" applyBorder="1" applyAlignment="1">
      <alignment horizontal="center" vertical="center" wrapText="1" shrinkToFit="1"/>
    </xf>
    <xf numFmtId="38" fontId="23" fillId="6" borderId="11" xfId="0" applyNumberFormat="1" applyFont="1" applyFill="1" applyBorder="1" applyAlignment="1">
      <alignment horizontal="center" vertical="center" wrapText="1" shrinkToFit="1"/>
    </xf>
    <xf numFmtId="38" fontId="24" fillId="4" borderId="17" xfId="0" applyNumberFormat="1" applyFont="1" applyFill="1" applyBorder="1" applyAlignment="1">
      <alignment horizontal="center" shrinkToFit="1"/>
    </xf>
    <xf numFmtId="38" fontId="24" fillId="0" borderId="4" xfId="0" applyNumberFormat="1" applyFont="1" applyFill="1" applyBorder="1" applyAlignment="1">
      <alignment horizontal="center" shrinkToFit="1"/>
    </xf>
    <xf numFmtId="38" fontId="24" fillId="4" borderId="4" xfId="0" applyNumberFormat="1" applyFont="1" applyFill="1" applyBorder="1" applyAlignment="1">
      <alignment horizontal="center" shrinkToFit="1"/>
    </xf>
    <xf numFmtId="38" fontId="24" fillId="4" borderId="18" xfId="0" applyNumberFormat="1" applyFont="1" applyFill="1" applyBorder="1" applyAlignment="1">
      <alignment horizontal="center" shrinkToFit="1"/>
    </xf>
    <xf numFmtId="38" fontId="24" fillId="4" borderId="1" xfId="0" applyNumberFormat="1" applyFont="1" applyFill="1" applyBorder="1" applyAlignment="1">
      <alignment horizontal="center" shrinkToFit="1"/>
    </xf>
    <xf numFmtId="38" fontId="23" fillId="4" borderId="31" xfId="0" applyNumberFormat="1" applyFont="1" applyFill="1" applyBorder="1" applyAlignment="1">
      <alignment horizontal="center" shrinkToFit="1"/>
    </xf>
    <xf numFmtId="38" fontId="10" fillId="4" borderId="0" xfId="0" applyNumberFormat="1" applyFont="1" applyFill="1" applyBorder="1" applyAlignment="1">
      <alignment horizontal="center" shrinkToFit="1"/>
    </xf>
    <xf numFmtId="38" fontId="23" fillId="4" borderId="6" xfId="0" applyNumberFormat="1" applyFont="1" applyFill="1" applyBorder="1" applyAlignment="1">
      <alignment horizontal="center" shrinkToFit="1"/>
    </xf>
    <xf numFmtId="38" fontId="24" fillId="4" borderId="32" xfId="0" applyNumberFormat="1" applyFont="1" applyFill="1" applyBorder="1" applyAlignment="1">
      <alignment horizontal="center" shrinkToFit="1"/>
    </xf>
    <xf numFmtId="38" fontId="10" fillId="4" borderId="0" xfId="0" applyNumberFormat="1" applyFont="1" applyFill="1" applyAlignment="1">
      <alignment horizontal="center" shrinkToFit="1"/>
    </xf>
    <xf numFmtId="38" fontId="23" fillId="4" borderId="10" xfId="0" applyNumberFormat="1" applyFont="1" applyFill="1" applyBorder="1" applyAlignment="1">
      <alignment horizontal="center" shrinkToFit="1"/>
    </xf>
    <xf numFmtId="38" fontId="24" fillId="4" borderId="33" xfId="0" applyNumberFormat="1" applyFont="1" applyFill="1" applyBorder="1" applyAlignment="1">
      <alignment horizontal="center" shrinkToFit="1"/>
    </xf>
    <xf numFmtId="38" fontId="23" fillId="4" borderId="21" xfId="0" applyNumberFormat="1" applyFont="1" applyFill="1" applyBorder="1" applyAlignment="1">
      <alignment horizontal="center" shrinkToFit="1"/>
    </xf>
    <xf numFmtId="38" fontId="12" fillId="4" borderId="0" xfId="0" applyNumberFormat="1" applyFont="1" applyFill="1" applyAlignment="1">
      <alignment horizontal="center" shrinkToFit="1"/>
    </xf>
    <xf numFmtId="38" fontId="16" fillId="4" borderId="0" xfId="0" applyNumberFormat="1" applyFont="1" applyFill="1" applyAlignment="1">
      <alignment horizontal="center" shrinkToFit="1"/>
    </xf>
    <xf numFmtId="38" fontId="12" fillId="4" borderId="0" xfId="0" applyNumberFormat="1" applyFont="1" applyFill="1" applyBorder="1" applyAlignment="1">
      <alignment horizontal="center" shrinkToFit="1"/>
    </xf>
    <xf numFmtId="38" fontId="13" fillId="4" borderId="0" xfId="0" applyNumberFormat="1" applyFont="1" applyFill="1" applyBorder="1" applyAlignment="1">
      <alignment horizontal="center" shrinkToFit="1"/>
    </xf>
    <xf numFmtId="38" fontId="13" fillId="4" borderId="0" xfId="0" applyNumberFormat="1" applyFont="1" applyFill="1" applyAlignment="1">
      <alignment horizontal="center" shrinkToFit="1"/>
    </xf>
    <xf numFmtId="38" fontId="23" fillId="6" borderId="19" xfId="0" applyNumberFormat="1" applyFont="1" applyFill="1" applyBorder="1" applyAlignment="1">
      <alignment horizontal="center" vertical="center" wrapText="1" shrinkToFit="1"/>
    </xf>
    <xf numFmtId="38" fontId="24" fillId="4" borderId="16" xfId="0" applyNumberFormat="1" applyFont="1" applyFill="1" applyBorder="1" applyAlignment="1">
      <alignment horizontal="center" shrinkToFit="1"/>
    </xf>
    <xf numFmtId="38" fontId="25" fillId="4" borderId="0" xfId="0" applyNumberFormat="1" applyFont="1" applyFill="1" applyBorder="1" applyAlignment="1">
      <alignment vertical="center" shrinkToFit="1"/>
    </xf>
    <xf numFmtId="38" fontId="25" fillId="4" borderId="0" xfId="0" applyNumberFormat="1" applyFont="1" applyFill="1" applyBorder="1" applyAlignment="1">
      <alignment horizontal="center" vertical="center" shrinkToFit="1"/>
    </xf>
    <xf numFmtId="38" fontId="23" fillId="3" borderId="13" xfId="0" applyNumberFormat="1" applyFont="1" applyFill="1" applyBorder="1" applyAlignment="1">
      <alignment horizontal="center" vertical="center" shrinkToFit="1"/>
    </xf>
    <xf numFmtId="38" fontId="23" fillId="3" borderId="14" xfId="0" applyNumberFormat="1" applyFont="1" applyFill="1" applyBorder="1" applyAlignment="1">
      <alignment horizontal="center" vertical="center" shrinkToFit="1"/>
    </xf>
    <xf numFmtId="38" fontId="23" fillId="3" borderId="15" xfId="0" applyNumberFormat="1" applyFont="1" applyFill="1" applyBorder="1" applyAlignment="1">
      <alignment horizontal="center" vertical="center" shrinkToFit="1"/>
    </xf>
    <xf numFmtId="38" fontId="23" fillId="7" borderId="13" xfId="0" applyNumberFormat="1" applyFont="1" applyFill="1" applyBorder="1" applyAlignment="1">
      <alignment horizontal="center" vertical="center" shrinkToFit="1"/>
    </xf>
    <xf numFmtId="38" fontId="23" fillId="7" borderId="14" xfId="0" applyNumberFormat="1" applyFont="1" applyFill="1" applyBorder="1" applyAlignment="1">
      <alignment horizontal="center" vertical="center" shrinkToFit="1"/>
    </xf>
    <xf numFmtId="38" fontId="23" fillId="7" borderId="15" xfId="0" applyNumberFormat="1" applyFont="1" applyFill="1" applyBorder="1" applyAlignment="1">
      <alignment horizontal="center" vertical="center" shrinkToFit="1"/>
    </xf>
    <xf numFmtId="38" fontId="23" fillId="6" borderId="13" xfId="0" applyNumberFormat="1" applyFont="1" applyFill="1" applyBorder="1" applyAlignment="1">
      <alignment horizontal="center" vertical="center" shrinkToFit="1"/>
    </xf>
    <xf numFmtId="38" fontId="23" fillId="6" borderId="14" xfId="0" applyNumberFormat="1" applyFont="1" applyFill="1" applyBorder="1" applyAlignment="1">
      <alignment horizontal="center" vertical="center" shrinkToFit="1"/>
    </xf>
    <xf numFmtId="38" fontId="23" fillId="8" borderId="20" xfId="0" applyNumberFormat="1" applyFont="1" applyFill="1" applyBorder="1" applyAlignment="1">
      <alignment horizontal="center" vertical="center" wrapText="1" shrinkToFit="1"/>
    </xf>
    <xf numFmtId="38" fontId="23" fillId="8" borderId="21" xfId="0" applyNumberFormat="1" applyFont="1" applyFill="1" applyBorder="1" applyAlignment="1">
      <alignment horizontal="center" vertical="center" wrapText="1" shrinkToFit="1"/>
    </xf>
    <xf numFmtId="38" fontId="13" fillId="4" borderId="0" xfId="0" applyNumberFormat="1" applyFont="1" applyFill="1" applyBorder="1" applyAlignment="1">
      <alignment horizontal="center" shrinkToFit="1"/>
    </xf>
    <xf numFmtId="38" fontId="23" fillId="4" borderId="22" xfId="0" applyNumberFormat="1" applyFont="1" applyFill="1" applyBorder="1" applyAlignment="1">
      <alignment horizontal="center" shrinkToFit="1"/>
    </xf>
    <xf numFmtId="38" fontId="23" fillId="4" borderId="23" xfId="0" applyNumberFormat="1" applyFont="1" applyFill="1" applyBorder="1" applyAlignment="1">
      <alignment horizontal="center" shrinkToFit="1"/>
    </xf>
    <xf numFmtId="38" fontId="23" fillId="4" borderId="24" xfId="0" applyNumberFormat="1" applyFont="1" applyFill="1" applyBorder="1" applyAlignment="1">
      <alignment horizontal="center" shrinkToFit="1"/>
    </xf>
    <xf numFmtId="37" fontId="7" fillId="0" borderId="3" xfId="0" applyNumberFormat="1" applyFont="1" applyBorder="1" applyAlignment="1">
      <alignment horizontal="center"/>
    </xf>
    <xf numFmtId="37" fontId="7" fillId="0" borderId="5" xfId="0" applyNumberFormat="1" applyFont="1" applyBorder="1" applyAlignment="1">
      <alignment horizontal="center"/>
    </xf>
    <xf numFmtId="37" fontId="9" fillId="0" borderId="2" xfId="1" applyNumberFormat="1" applyFont="1" applyBorder="1" applyAlignment="1">
      <alignment horizontal="center"/>
    </xf>
    <xf numFmtId="37" fontId="9" fillId="0" borderId="0" xfId="1" applyNumberFormat="1" applyFont="1" applyAlignment="1">
      <alignment horizontal="center"/>
    </xf>
    <xf numFmtId="3" fontId="7" fillId="2" borderId="26" xfId="0" applyNumberFormat="1" applyFont="1" applyFill="1" applyBorder="1" applyAlignment="1">
      <alignment horizontal="center"/>
    </xf>
    <xf numFmtId="3" fontId="7" fillId="2" borderId="27" xfId="0" applyNumberFormat="1" applyFont="1" applyFill="1" applyBorder="1" applyAlignment="1">
      <alignment horizontal="center"/>
    </xf>
    <xf numFmtId="3" fontId="7" fillId="2" borderId="28" xfId="0" applyNumberFormat="1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2" borderId="29" xfId="0" applyNumberFormat="1" applyFont="1" applyFill="1" applyBorder="1" applyAlignment="1">
      <alignment horizontal="center"/>
    </xf>
    <xf numFmtId="3" fontId="4" fillId="2" borderId="25" xfId="0" applyNumberFormat="1" applyFont="1" applyFill="1" applyBorder="1" applyAlignment="1">
      <alignment horizontal="center"/>
    </xf>
    <xf numFmtId="3" fontId="4" fillId="2" borderId="30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ورقه1">
    <pageSetUpPr fitToPage="1"/>
  </sheetPr>
  <dimension ref="A1:Y18"/>
  <sheetViews>
    <sheetView rightToLeft="1" zoomScale="55" zoomScaleNormal="5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L4" sqref="L4"/>
    </sheetView>
  </sheetViews>
  <sheetFormatPr defaultRowHeight="13.2" x14ac:dyDescent="0.25"/>
  <cols>
    <col min="2" max="2" width="14.5546875" style="3" bestFit="1" customWidth="1"/>
    <col min="3" max="3" width="20" style="3" customWidth="1"/>
    <col min="4" max="4" width="9" style="3" customWidth="1"/>
    <col min="5" max="7" width="9.33203125" style="3" customWidth="1"/>
    <col min="8" max="8" width="9.6640625" style="3" customWidth="1"/>
    <col min="9" max="10" width="10.88671875" style="3" customWidth="1"/>
    <col min="11" max="11" width="10.44140625" style="3" customWidth="1"/>
    <col min="12" max="15" width="13.5546875" customWidth="1"/>
    <col min="16" max="16" width="20.5546875" bestFit="1" customWidth="1"/>
    <col min="17" max="18" width="11.88671875" customWidth="1"/>
    <col min="19" max="19" width="15.33203125" customWidth="1"/>
    <col min="20" max="20" width="14.109375" customWidth="1"/>
    <col min="21" max="22" width="10.44140625" customWidth="1"/>
    <col min="23" max="23" width="17.88671875" customWidth="1"/>
    <col min="24" max="24" width="17.33203125" customWidth="1"/>
    <col min="25" max="25" width="17.6640625" customWidth="1"/>
  </cols>
  <sheetData>
    <row r="1" spans="1:25" ht="37.200000000000003" x14ac:dyDescent="0.9">
      <c r="B1" s="42"/>
      <c r="C1" s="42"/>
      <c r="D1" s="42"/>
      <c r="E1" s="42"/>
      <c r="F1" s="42"/>
      <c r="G1" s="42"/>
      <c r="H1" s="42"/>
      <c r="I1" s="42" t="s">
        <v>89</v>
      </c>
      <c r="J1" s="42"/>
      <c r="K1" s="42"/>
      <c r="L1" s="43">
        <v>31</v>
      </c>
      <c r="M1" s="47"/>
      <c r="N1" s="42"/>
      <c r="O1" s="44" t="s">
        <v>88</v>
      </c>
      <c r="P1" s="45">
        <v>1393250</v>
      </c>
      <c r="Q1" s="42"/>
      <c r="R1" s="42"/>
      <c r="S1" s="42"/>
      <c r="T1" s="42"/>
      <c r="U1" s="42"/>
      <c r="V1" s="42"/>
      <c r="W1" s="42"/>
    </row>
    <row r="2" spans="1:25" s="21" customFormat="1" ht="68.400000000000006" x14ac:dyDescent="0.25">
      <c r="A2" s="22" t="s">
        <v>3</v>
      </c>
      <c r="B2" s="22" t="s">
        <v>73</v>
      </c>
      <c r="C2" s="23" t="s">
        <v>2</v>
      </c>
      <c r="D2" s="23" t="s">
        <v>1</v>
      </c>
      <c r="E2" s="23" t="s">
        <v>62</v>
      </c>
      <c r="F2" s="23" t="s">
        <v>75</v>
      </c>
      <c r="G2" s="23" t="s">
        <v>63</v>
      </c>
      <c r="H2" s="23" t="s">
        <v>28</v>
      </c>
      <c r="I2" s="23" t="s">
        <v>66</v>
      </c>
      <c r="J2" s="23" t="s">
        <v>67</v>
      </c>
      <c r="K2" s="23" t="s">
        <v>27</v>
      </c>
      <c r="L2" s="23" t="s">
        <v>8</v>
      </c>
      <c r="M2" s="23" t="s">
        <v>76</v>
      </c>
      <c r="N2" s="23" t="s">
        <v>61</v>
      </c>
      <c r="O2" s="23" t="s">
        <v>80</v>
      </c>
      <c r="P2" s="58" t="s">
        <v>87</v>
      </c>
      <c r="Q2" s="22" t="s">
        <v>53</v>
      </c>
      <c r="R2" s="22" t="s">
        <v>81</v>
      </c>
      <c r="S2" s="23" t="s">
        <v>43</v>
      </c>
      <c r="T2" s="23" t="s">
        <v>44</v>
      </c>
      <c r="U2" s="22" t="s">
        <v>29</v>
      </c>
      <c r="V2" s="22" t="s">
        <v>30</v>
      </c>
      <c r="W2" s="23" t="s">
        <v>59</v>
      </c>
      <c r="X2" s="23" t="s">
        <v>78</v>
      </c>
      <c r="Y2" s="23" t="s">
        <v>79</v>
      </c>
    </row>
    <row r="3" spans="1:25" s="25" customFormat="1" ht="24" x14ac:dyDescent="0.85">
      <c r="A3" s="19">
        <v>1</v>
      </c>
      <c r="B3" s="19" t="s">
        <v>48</v>
      </c>
      <c r="C3" s="28" t="s">
        <v>90</v>
      </c>
      <c r="D3" s="20">
        <v>2</v>
      </c>
      <c r="E3" s="20">
        <v>31</v>
      </c>
      <c r="F3" s="20">
        <v>31</v>
      </c>
      <c r="G3" s="30"/>
      <c r="H3" s="24"/>
      <c r="I3" s="24">
        <v>20</v>
      </c>
      <c r="J3" s="31"/>
      <c r="K3" s="20">
        <v>2</v>
      </c>
      <c r="L3" s="20">
        <v>7200000</v>
      </c>
      <c r="M3" s="20"/>
      <c r="N3" s="5">
        <f t="shared" ref="N3:N7" si="0">L3/7.33333333333333</f>
        <v>981818.18181818223</v>
      </c>
      <c r="O3" s="5"/>
      <c r="P3" s="29"/>
      <c r="Q3" s="20">
        <v>0</v>
      </c>
      <c r="R3" s="20"/>
      <c r="S3" s="20">
        <v>6500000</v>
      </c>
      <c r="T3" s="20">
        <v>8500000</v>
      </c>
      <c r="U3" s="20">
        <v>1</v>
      </c>
      <c r="V3" s="20">
        <v>1</v>
      </c>
      <c r="W3" s="29">
        <f t="shared" ref="W3:W10" si="1">L3*30+S3+T3+(P$1*3*D3)+P3</f>
        <v>239359500</v>
      </c>
      <c r="X3" s="29">
        <f t="shared" ref="X3:X10" si="2">1.23*((365*L3)+12*(S3+T3))+111*L3+(12*D3*3*P$1)</f>
        <v>4353354000</v>
      </c>
      <c r="Y3" s="29">
        <f t="shared" ref="Y3:Y10" si="3">X3/12</f>
        <v>362779500</v>
      </c>
    </row>
    <row r="4" spans="1:25" ht="24" x14ac:dyDescent="0.85">
      <c r="A4" s="19">
        <v>2</v>
      </c>
      <c r="B4" s="27" t="s">
        <v>60</v>
      </c>
      <c r="C4" s="27" t="s">
        <v>91</v>
      </c>
      <c r="D4" s="27">
        <v>2</v>
      </c>
      <c r="E4" s="20">
        <v>31</v>
      </c>
      <c r="F4" s="20">
        <v>31</v>
      </c>
      <c r="G4" s="32"/>
      <c r="H4" s="6"/>
      <c r="I4" s="6">
        <v>15.5</v>
      </c>
      <c r="J4" s="6"/>
      <c r="K4" s="5"/>
      <c r="L4" s="20">
        <v>1462874</v>
      </c>
      <c r="M4" s="20">
        <v>1000000</v>
      </c>
      <c r="N4" s="5">
        <f>L4/7.33333333333333</f>
        <v>199482.81818181826</v>
      </c>
      <c r="O4" s="5"/>
      <c r="P4" s="5"/>
      <c r="Q4" s="5"/>
      <c r="R4" s="5"/>
      <c r="S4" s="20">
        <v>6500000</v>
      </c>
      <c r="T4" s="20">
        <v>8500000</v>
      </c>
      <c r="U4" s="5">
        <v>1</v>
      </c>
      <c r="V4" s="5">
        <v>1</v>
      </c>
      <c r="W4" s="29">
        <f t="shared" si="1"/>
        <v>67245720</v>
      </c>
      <c r="X4" s="29">
        <f t="shared" si="2"/>
        <v>1140850296.3</v>
      </c>
      <c r="Y4" s="29">
        <f t="shared" si="3"/>
        <v>95070858.024999991</v>
      </c>
    </row>
    <row r="5" spans="1:25" s="25" customFormat="1" ht="24" x14ac:dyDescent="0.85">
      <c r="A5" s="19">
        <v>3</v>
      </c>
      <c r="B5" s="28" t="s">
        <v>60</v>
      </c>
      <c r="C5" s="19" t="s">
        <v>92</v>
      </c>
      <c r="D5" s="19">
        <v>0</v>
      </c>
      <c r="E5" s="20">
        <v>31</v>
      </c>
      <c r="F5" s="20">
        <v>31</v>
      </c>
      <c r="G5" s="30"/>
      <c r="H5" s="24"/>
      <c r="I5" s="24"/>
      <c r="J5" s="24"/>
      <c r="K5" s="20"/>
      <c r="L5" s="20">
        <v>1670681</v>
      </c>
      <c r="M5" s="20"/>
      <c r="N5" s="5">
        <f t="shared" si="0"/>
        <v>227820.13636363647</v>
      </c>
      <c r="O5" s="5"/>
      <c r="P5" s="29"/>
      <c r="Q5" s="29"/>
      <c r="R5" s="29"/>
      <c r="S5" s="20">
        <v>6500000</v>
      </c>
      <c r="T5" s="20">
        <v>8500000</v>
      </c>
      <c r="U5" s="20">
        <v>1</v>
      </c>
      <c r="V5" s="20">
        <v>1</v>
      </c>
      <c r="W5" s="29">
        <f t="shared" si="1"/>
        <v>65120430</v>
      </c>
      <c r="X5" s="29">
        <f t="shared" si="2"/>
        <v>1156897825.9499998</v>
      </c>
      <c r="Y5" s="29">
        <f t="shared" si="3"/>
        <v>96408152.162499979</v>
      </c>
    </row>
    <row r="6" spans="1:25" ht="24" x14ac:dyDescent="0.85">
      <c r="A6" s="19">
        <v>4</v>
      </c>
      <c r="B6" s="27" t="s">
        <v>58</v>
      </c>
      <c r="C6" s="27" t="s">
        <v>93</v>
      </c>
      <c r="D6" s="4">
        <v>1</v>
      </c>
      <c r="E6" s="20">
        <v>31</v>
      </c>
      <c r="F6" s="20">
        <v>31</v>
      </c>
      <c r="G6" s="32"/>
      <c r="H6" s="6"/>
      <c r="I6" s="6">
        <v>50</v>
      </c>
      <c r="J6" s="6">
        <v>20</v>
      </c>
      <c r="K6" s="5"/>
      <c r="L6" s="20">
        <v>1670681</v>
      </c>
      <c r="M6" s="20"/>
      <c r="N6" s="5">
        <f t="shared" si="0"/>
        <v>227820.13636363647</v>
      </c>
      <c r="O6" s="5"/>
      <c r="P6" s="5"/>
      <c r="Q6" s="5"/>
      <c r="R6" s="5"/>
      <c r="S6" s="20">
        <v>6500000</v>
      </c>
      <c r="T6" s="20">
        <v>8500000</v>
      </c>
      <c r="U6" s="5">
        <v>1</v>
      </c>
      <c r="V6" s="5">
        <v>1</v>
      </c>
      <c r="W6" s="29">
        <f t="shared" si="1"/>
        <v>69300180</v>
      </c>
      <c r="X6" s="29">
        <f t="shared" si="2"/>
        <v>1207054825.9499998</v>
      </c>
      <c r="Y6" s="29">
        <f t="shared" si="3"/>
        <v>100587902.16249998</v>
      </c>
    </row>
    <row r="7" spans="1:25" ht="24" x14ac:dyDescent="0.85">
      <c r="A7" s="19">
        <v>5</v>
      </c>
      <c r="B7" s="27" t="s">
        <v>58</v>
      </c>
      <c r="C7" s="27" t="s">
        <v>94</v>
      </c>
      <c r="D7" s="27">
        <v>0</v>
      </c>
      <c r="E7" s="20">
        <v>31</v>
      </c>
      <c r="F7" s="20">
        <v>31</v>
      </c>
      <c r="G7" s="32"/>
      <c r="H7" s="6"/>
      <c r="I7" s="6"/>
      <c r="J7" s="6"/>
      <c r="K7" s="5"/>
      <c r="L7" s="20">
        <v>1616716</v>
      </c>
      <c r="M7" s="20"/>
      <c r="N7" s="5">
        <f t="shared" si="0"/>
        <v>220461.27272727282</v>
      </c>
      <c r="O7" s="5"/>
      <c r="P7" s="5"/>
      <c r="Q7" s="5"/>
      <c r="R7" s="5"/>
      <c r="S7" s="20">
        <v>6500000</v>
      </c>
      <c r="T7" s="20">
        <v>8500000</v>
      </c>
      <c r="U7" s="5">
        <v>1</v>
      </c>
      <c r="V7" s="5">
        <v>1</v>
      </c>
      <c r="W7" s="29">
        <f t="shared" si="1"/>
        <v>63501480</v>
      </c>
      <c r="X7" s="29">
        <f t="shared" si="2"/>
        <v>1126680124.1999998</v>
      </c>
      <c r="Y7" s="29">
        <f t="shared" si="3"/>
        <v>93890010.349999979</v>
      </c>
    </row>
    <row r="8" spans="1:25" ht="24" x14ac:dyDescent="0.85">
      <c r="A8" s="19">
        <v>6</v>
      </c>
      <c r="B8" s="27" t="s">
        <v>58</v>
      </c>
      <c r="C8" s="27" t="s">
        <v>95</v>
      </c>
      <c r="D8" s="27">
        <v>0</v>
      </c>
      <c r="E8" s="20">
        <v>31</v>
      </c>
      <c r="F8" s="20">
        <v>31</v>
      </c>
      <c r="G8" s="32"/>
      <c r="I8" s="6"/>
      <c r="J8" s="6"/>
      <c r="K8" s="5"/>
      <c r="L8" s="20">
        <v>1616716</v>
      </c>
      <c r="M8" s="20"/>
      <c r="N8" s="5">
        <f>L8/7.33333333333333</f>
        <v>220461.27272727282</v>
      </c>
      <c r="O8" s="5"/>
      <c r="P8" s="5"/>
      <c r="Q8" s="5"/>
      <c r="R8" s="5"/>
      <c r="S8" s="20">
        <v>6500000</v>
      </c>
      <c r="T8" s="20">
        <v>8500000</v>
      </c>
      <c r="U8" s="5">
        <v>1</v>
      </c>
      <c r="V8" s="5">
        <v>1</v>
      </c>
      <c r="W8" s="29">
        <f t="shared" si="1"/>
        <v>63501480</v>
      </c>
      <c r="X8" s="29">
        <f t="shared" si="2"/>
        <v>1126680124.1999998</v>
      </c>
      <c r="Y8" s="29">
        <f t="shared" si="3"/>
        <v>93890010.349999979</v>
      </c>
    </row>
    <row r="9" spans="1:25" ht="24" x14ac:dyDescent="0.85">
      <c r="A9" s="19">
        <v>7</v>
      </c>
      <c r="B9" s="27" t="s">
        <v>77</v>
      </c>
      <c r="C9" s="27" t="s">
        <v>96</v>
      </c>
      <c r="D9" s="27">
        <v>0</v>
      </c>
      <c r="E9" s="20">
        <v>31</v>
      </c>
      <c r="F9" s="20">
        <v>31</v>
      </c>
      <c r="G9" s="32"/>
      <c r="H9" s="6"/>
      <c r="I9" s="6"/>
      <c r="J9" s="6"/>
      <c r="K9" s="5"/>
      <c r="L9" s="20">
        <v>1571121</v>
      </c>
      <c r="M9" s="20"/>
      <c r="N9" s="5">
        <f>L9/7.33333333333333</f>
        <v>214243.77272727282</v>
      </c>
      <c r="O9" s="5"/>
      <c r="P9" s="5"/>
      <c r="Q9" s="5"/>
      <c r="R9" s="5"/>
      <c r="S9" s="20">
        <v>6500000</v>
      </c>
      <c r="T9" s="20">
        <v>8500000</v>
      </c>
      <c r="U9" s="5">
        <v>1</v>
      </c>
      <c r="V9" s="5">
        <v>1</v>
      </c>
      <c r="W9" s="29">
        <f t="shared" si="1"/>
        <v>62133630</v>
      </c>
      <c r="X9" s="29">
        <f t="shared" si="2"/>
        <v>1101149203.9499998</v>
      </c>
      <c r="Y9" s="29">
        <f t="shared" si="3"/>
        <v>91762433.662499979</v>
      </c>
    </row>
    <row r="10" spans="1:25" ht="24" x14ac:dyDescent="0.85">
      <c r="A10" s="19">
        <v>8</v>
      </c>
      <c r="B10" s="27" t="s">
        <v>77</v>
      </c>
      <c r="C10" s="27" t="s">
        <v>97</v>
      </c>
      <c r="D10" s="27">
        <v>2</v>
      </c>
      <c r="E10" s="20">
        <v>31</v>
      </c>
      <c r="F10" s="20">
        <v>31</v>
      </c>
      <c r="G10" s="32"/>
      <c r="H10" s="6"/>
      <c r="I10" s="6"/>
      <c r="J10" s="6"/>
      <c r="K10" s="5"/>
      <c r="L10" s="20">
        <v>1537311</v>
      </c>
      <c r="M10" s="20"/>
      <c r="N10" s="5">
        <f>L10/7.33333333333333</f>
        <v>209633.31818181826</v>
      </c>
      <c r="O10" s="5"/>
      <c r="P10" s="5"/>
      <c r="Q10" s="5"/>
      <c r="R10" s="5"/>
      <c r="S10" s="20">
        <v>6500000</v>
      </c>
      <c r="T10" s="20">
        <v>8500000</v>
      </c>
      <c r="U10" s="5">
        <v>1</v>
      </c>
      <c r="V10" s="5">
        <v>1</v>
      </c>
      <c r="W10" s="29">
        <f t="shared" si="1"/>
        <v>69478830</v>
      </c>
      <c r="X10" s="29">
        <f t="shared" si="2"/>
        <v>1182531294.4499998</v>
      </c>
      <c r="Y10" s="29">
        <f t="shared" si="3"/>
        <v>98544274.537499979</v>
      </c>
    </row>
    <row r="11" spans="1:25" ht="24" x14ac:dyDescent="0.85">
      <c r="A11" s="19">
        <v>9</v>
      </c>
      <c r="B11" s="27" t="s">
        <v>77</v>
      </c>
      <c r="C11" s="27" t="s">
        <v>98</v>
      </c>
      <c r="D11" s="27">
        <v>0</v>
      </c>
      <c r="E11" s="20">
        <v>31</v>
      </c>
      <c r="F11" s="20">
        <v>31</v>
      </c>
      <c r="G11" s="32"/>
      <c r="H11" s="6"/>
      <c r="I11" s="6"/>
      <c r="J11" s="6"/>
      <c r="K11" s="5"/>
      <c r="L11" s="20">
        <v>1439917</v>
      </c>
      <c r="M11" s="29"/>
      <c r="N11" s="5">
        <f t="shared" ref="N11:N18" si="4">L11/7.33333333333333</f>
        <v>196352.31818181826</v>
      </c>
      <c r="O11" s="5"/>
      <c r="P11" s="5"/>
      <c r="Q11" s="5"/>
      <c r="R11" s="5"/>
      <c r="S11" s="20">
        <v>6500000</v>
      </c>
      <c r="T11" s="20">
        <v>8500000</v>
      </c>
      <c r="U11" s="5">
        <v>1</v>
      </c>
      <c r="V11" s="5">
        <v>1</v>
      </c>
      <c r="W11" s="29">
        <f t="shared" ref="W11:W15" si="5">L11*30+S11+T11+(P$1*3*D11)+P11</f>
        <v>58197510</v>
      </c>
      <c r="X11" s="29">
        <f t="shared" ref="X11:X15" si="6">1.23*((365*L11)+12*(S11+T11))+111*L11+(12*D11*3*P$1)</f>
        <v>1027681524.15</v>
      </c>
      <c r="Y11" s="29">
        <f t="shared" ref="Y11:Y15" si="7">X11/12</f>
        <v>85640127.012500003</v>
      </c>
    </row>
    <row r="12" spans="1:25" ht="24" x14ac:dyDescent="0.85">
      <c r="A12" s="19">
        <v>10</v>
      </c>
      <c r="B12" s="27" t="s">
        <v>77</v>
      </c>
      <c r="C12" s="27" t="s">
        <v>99</v>
      </c>
      <c r="D12" s="27">
        <v>0</v>
      </c>
      <c r="E12" s="20">
        <v>31</v>
      </c>
      <c r="F12" s="20">
        <v>31</v>
      </c>
      <c r="G12" s="32"/>
      <c r="H12" s="6"/>
      <c r="I12" s="6"/>
      <c r="J12" s="6"/>
      <c r="K12" s="5"/>
      <c r="L12" s="20">
        <v>1434084</v>
      </c>
      <c r="M12" s="29"/>
      <c r="N12" s="5">
        <f t="shared" si="4"/>
        <v>195556.90909090918</v>
      </c>
      <c r="O12" s="5"/>
      <c r="P12" s="5"/>
      <c r="Q12" s="5"/>
      <c r="R12" s="5"/>
      <c r="S12" s="20">
        <v>6500000</v>
      </c>
      <c r="T12" s="20">
        <v>8500000</v>
      </c>
      <c r="U12" s="5">
        <v>1</v>
      </c>
      <c r="V12" s="5">
        <v>1</v>
      </c>
      <c r="W12" s="29">
        <f t="shared" si="5"/>
        <v>58022520</v>
      </c>
      <c r="X12" s="29">
        <f t="shared" si="6"/>
        <v>1024415335.8</v>
      </c>
      <c r="Y12" s="29">
        <f t="shared" si="7"/>
        <v>85367944.649999991</v>
      </c>
    </row>
    <row r="13" spans="1:25" ht="24" x14ac:dyDescent="0.85">
      <c r="A13" s="19">
        <v>11</v>
      </c>
      <c r="B13" s="27" t="s">
        <v>58</v>
      </c>
      <c r="C13" s="27" t="s">
        <v>100</v>
      </c>
      <c r="D13" s="27">
        <v>1</v>
      </c>
      <c r="E13" s="20">
        <v>31</v>
      </c>
      <c r="F13" s="20">
        <v>31</v>
      </c>
      <c r="G13" s="32"/>
      <c r="H13" s="6"/>
      <c r="I13" s="6"/>
      <c r="J13" s="6"/>
      <c r="K13" s="5"/>
      <c r="L13" s="20">
        <v>1428250</v>
      </c>
      <c r="M13" s="29"/>
      <c r="N13" s="5">
        <f t="shared" si="4"/>
        <v>194761.36363636371</v>
      </c>
      <c r="O13" s="5"/>
      <c r="P13" s="5"/>
      <c r="Q13" s="5"/>
      <c r="R13" s="5"/>
      <c r="S13" s="20">
        <v>6500000</v>
      </c>
      <c r="T13" s="20">
        <v>8500000</v>
      </c>
      <c r="U13" s="5">
        <v>1</v>
      </c>
      <c r="V13" s="5">
        <v>1</v>
      </c>
      <c r="W13" s="29">
        <f t="shared" si="5"/>
        <v>62027250</v>
      </c>
      <c r="X13" s="29">
        <f t="shared" si="6"/>
        <v>1071305587.5</v>
      </c>
      <c r="Y13" s="29">
        <f t="shared" si="7"/>
        <v>89275465.625</v>
      </c>
    </row>
    <row r="14" spans="1:25" ht="24" x14ac:dyDescent="0.85">
      <c r="A14" s="19">
        <v>12</v>
      </c>
      <c r="B14" s="27" t="s">
        <v>58</v>
      </c>
      <c r="C14" s="27" t="s">
        <v>101</v>
      </c>
      <c r="D14" s="27">
        <v>0</v>
      </c>
      <c r="E14" s="20">
        <v>31</v>
      </c>
      <c r="F14" s="20">
        <v>31</v>
      </c>
      <c r="G14" s="32"/>
      <c r="H14" s="6"/>
      <c r="I14" s="6"/>
      <c r="J14" s="6"/>
      <c r="K14" s="5"/>
      <c r="L14" s="20">
        <v>1422417</v>
      </c>
      <c r="M14" s="29"/>
      <c r="N14" s="5">
        <f t="shared" si="4"/>
        <v>193965.95454545462</v>
      </c>
      <c r="O14" s="5"/>
      <c r="P14" s="5"/>
      <c r="Q14" s="5"/>
      <c r="R14" s="5"/>
      <c r="S14" s="20">
        <v>6500000</v>
      </c>
      <c r="T14" s="20">
        <v>8500000</v>
      </c>
      <c r="U14" s="5">
        <v>1</v>
      </c>
      <c r="V14" s="5">
        <v>1</v>
      </c>
      <c r="W14" s="29">
        <f t="shared" si="5"/>
        <v>57672510</v>
      </c>
      <c r="X14" s="29">
        <f t="shared" si="6"/>
        <v>1017882399.15</v>
      </c>
      <c r="Y14" s="29">
        <f t="shared" si="7"/>
        <v>84823533.262500003</v>
      </c>
    </row>
    <row r="15" spans="1:25" ht="24" x14ac:dyDescent="0.85">
      <c r="A15" s="19">
        <v>13</v>
      </c>
      <c r="B15" s="27" t="s">
        <v>77</v>
      </c>
      <c r="C15" s="27" t="s">
        <v>102</v>
      </c>
      <c r="D15" s="27">
        <v>0</v>
      </c>
      <c r="E15" s="20">
        <v>31</v>
      </c>
      <c r="F15" s="20">
        <v>31</v>
      </c>
      <c r="G15" s="32"/>
      <c r="H15" s="6"/>
      <c r="I15" s="6"/>
      <c r="J15" s="6"/>
      <c r="K15" s="5"/>
      <c r="L15" s="20">
        <v>1393250</v>
      </c>
      <c r="M15" s="29"/>
      <c r="N15" s="5">
        <f t="shared" si="4"/>
        <v>189988.63636363644</v>
      </c>
      <c r="O15" s="5"/>
      <c r="P15" s="5"/>
      <c r="Q15" s="5"/>
      <c r="R15" s="5"/>
      <c r="S15" s="20">
        <v>6500000</v>
      </c>
      <c r="T15" s="20">
        <v>8500000</v>
      </c>
      <c r="U15" s="5">
        <v>1</v>
      </c>
      <c r="V15" s="5">
        <v>1</v>
      </c>
      <c r="W15" s="29">
        <f t="shared" si="5"/>
        <v>56797500</v>
      </c>
      <c r="X15" s="29">
        <f t="shared" si="6"/>
        <v>1001550337.5</v>
      </c>
      <c r="Y15" s="29">
        <f t="shared" si="7"/>
        <v>83462528.125</v>
      </c>
    </row>
    <row r="16" spans="1:25" ht="24" x14ac:dyDescent="0.85">
      <c r="A16" s="19">
        <v>14</v>
      </c>
      <c r="B16" s="27" t="s">
        <v>58</v>
      </c>
      <c r="C16" s="27" t="s">
        <v>103</v>
      </c>
      <c r="D16" s="27">
        <v>1</v>
      </c>
      <c r="E16" s="20">
        <v>31</v>
      </c>
      <c r="F16" s="20">
        <v>31</v>
      </c>
      <c r="G16" s="32"/>
      <c r="H16" s="6"/>
      <c r="I16" s="6"/>
      <c r="J16" s="6"/>
      <c r="K16" s="5"/>
      <c r="L16" s="20">
        <v>1393250</v>
      </c>
      <c r="M16" s="29"/>
      <c r="N16" s="5">
        <f t="shared" si="4"/>
        <v>189988.63636363644</v>
      </c>
      <c r="O16" s="5"/>
      <c r="P16" s="5"/>
      <c r="Q16" s="5"/>
      <c r="R16" s="5"/>
      <c r="S16" s="20">
        <v>6500000</v>
      </c>
      <c r="T16" s="20">
        <v>8500000</v>
      </c>
      <c r="U16" s="5">
        <v>1</v>
      </c>
      <c r="V16" s="5">
        <v>1</v>
      </c>
      <c r="W16" s="29">
        <f t="shared" ref="W16" si="8">L16*30+S16+T16+(P$1*3*D16)+P16</f>
        <v>60977250</v>
      </c>
      <c r="X16" s="29">
        <f t="shared" ref="X16" si="9">1.23*((365*L16)+12*(S16+T16))+111*L16+(12*D16*3*P$1)</f>
        <v>1051707337.5</v>
      </c>
      <c r="Y16" s="29">
        <f t="shared" ref="Y16" si="10">X16/12</f>
        <v>87642278.125</v>
      </c>
    </row>
    <row r="17" spans="1:25" ht="24" x14ac:dyDescent="0.85">
      <c r="A17" s="19">
        <v>15</v>
      </c>
      <c r="B17" s="27" t="s">
        <v>58</v>
      </c>
      <c r="C17" s="27" t="s">
        <v>104</v>
      </c>
      <c r="D17" s="27">
        <v>0</v>
      </c>
      <c r="E17" s="20">
        <v>25</v>
      </c>
      <c r="F17" s="20">
        <v>25</v>
      </c>
      <c r="G17" s="32"/>
      <c r="H17" s="6"/>
      <c r="I17" s="6"/>
      <c r="J17" s="6"/>
      <c r="K17" s="5"/>
      <c r="L17" s="20">
        <v>1393250</v>
      </c>
      <c r="M17" s="29"/>
      <c r="N17" s="5">
        <f t="shared" si="4"/>
        <v>189988.63636363644</v>
      </c>
      <c r="O17" s="5"/>
      <c r="P17" s="5"/>
      <c r="Q17" s="5"/>
      <c r="R17" s="5"/>
      <c r="S17" s="20">
        <v>6500000</v>
      </c>
      <c r="T17" s="20">
        <v>8500000</v>
      </c>
      <c r="U17" s="5">
        <v>1</v>
      </c>
      <c r="V17" s="5">
        <v>1</v>
      </c>
      <c r="W17" s="29">
        <f t="shared" ref="W17:W18" si="11">L17*30+S17+T17+(P$1*3*D17)+P17</f>
        <v>56797500</v>
      </c>
      <c r="X17" s="29">
        <f t="shared" ref="X17:X18" si="12">1.23*((365*L17)+12*(S17+T17))+111*L17+(12*D17*3*P$1)</f>
        <v>1001550337.5</v>
      </c>
      <c r="Y17" s="29">
        <f t="shared" ref="Y17:Y18" si="13">X17/12</f>
        <v>83462528.125</v>
      </c>
    </row>
    <row r="18" spans="1:25" ht="24" x14ac:dyDescent="0.85">
      <c r="A18" s="19">
        <v>16</v>
      </c>
      <c r="B18" s="27" t="s">
        <v>58</v>
      </c>
      <c r="C18" s="27" t="s">
        <v>105</v>
      </c>
      <c r="D18" s="27">
        <v>0</v>
      </c>
      <c r="E18" s="20">
        <v>25</v>
      </c>
      <c r="F18" s="20">
        <v>25</v>
      </c>
      <c r="G18" s="32"/>
      <c r="H18" s="6"/>
      <c r="I18" s="6"/>
      <c r="J18" s="6"/>
      <c r="K18" s="5"/>
      <c r="L18" s="20">
        <v>1393250</v>
      </c>
      <c r="M18" s="29"/>
      <c r="N18" s="5">
        <f t="shared" si="4"/>
        <v>189988.63636363644</v>
      </c>
      <c r="O18" s="5"/>
      <c r="P18" s="5"/>
      <c r="Q18" s="5"/>
      <c r="R18" s="5"/>
      <c r="S18" s="20">
        <v>6500000</v>
      </c>
      <c r="T18" s="20">
        <v>8500000</v>
      </c>
      <c r="U18" s="5">
        <v>1</v>
      </c>
      <c r="V18" s="5">
        <v>1</v>
      </c>
      <c r="W18" s="29">
        <f t="shared" si="11"/>
        <v>56797500</v>
      </c>
      <c r="X18" s="29">
        <f t="shared" si="12"/>
        <v>1001550337.5</v>
      </c>
      <c r="Y18" s="29">
        <f t="shared" si="13"/>
        <v>83462528.125</v>
      </c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"/>
  <sheetViews>
    <sheetView rightToLeft="1" workbookViewId="0">
      <selection activeCell="C8" sqref="C8"/>
    </sheetView>
  </sheetViews>
  <sheetFormatPr defaultColWidth="9.109375" defaultRowHeight="18.600000000000001" x14ac:dyDescent="0.55000000000000004"/>
  <cols>
    <col min="1" max="2" width="16.6640625" style="52" bestFit="1" customWidth="1"/>
    <col min="3" max="3" width="15.33203125" style="53" customWidth="1"/>
    <col min="4" max="4" width="16.5546875" style="50" bestFit="1" customWidth="1"/>
    <col min="5" max="16384" width="9.109375" style="50"/>
  </cols>
  <sheetData>
    <row r="1" spans="1:4" s="54" customFormat="1" ht="20.399999999999999" x14ac:dyDescent="0.65">
      <c r="A1" s="55" t="s">
        <v>83</v>
      </c>
      <c r="B1" s="55" t="s">
        <v>84</v>
      </c>
      <c r="C1" s="56" t="s">
        <v>85</v>
      </c>
      <c r="D1" s="57" t="s">
        <v>86</v>
      </c>
    </row>
    <row r="2" spans="1:4" x14ac:dyDescent="0.55000000000000004">
      <c r="A2" s="48">
        <v>1</v>
      </c>
      <c r="B2" s="48">
        <v>56000000</v>
      </c>
      <c r="C2" s="49">
        <v>0</v>
      </c>
      <c r="D2" s="51">
        <f>(B2-A2+1)*C2</f>
        <v>0</v>
      </c>
    </row>
    <row r="3" spans="1:4" x14ac:dyDescent="0.55000000000000004">
      <c r="A3" s="48">
        <f t="shared" ref="A3:A8" si="0">B2</f>
        <v>56000000</v>
      </c>
      <c r="B3" s="48">
        <v>150000000</v>
      </c>
      <c r="C3" s="49">
        <v>0.1</v>
      </c>
      <c r="D3" s="51">
        <f t="shared" ref="D3:D8" si="1">(B3-A3)*C3</f>
        <v>9400000</v>
      </c>
    </row>
    <row r="4" spans="1:4" x14ac:dyDescent="0.55000000000000004">
      <c r="A4" s="48">
        <f t="shared" si="0"/>
        <v>150000000</v>
      </c>
      <c r="B4" s="48">
        <v>250000000</v>
      </c>
      <c r="C4" s="49">
        <v>0.15</v>
      </c>
      <c r="D4" s="51">
        <f t="shared" si="1"/>
        <v>15000000</v>
      </c>
    </row>
    <row r="5" spans="1:4" x14ac:dyDescent="0.55000000000000004">
      <c r="A5" s="48">
        <f t="shared" si="0"/>
        <v>250000000</v>
      </c>
      <c r="B5" s="48">
        <v>350000000</v>
      </c>
      <c r="C5" s="49">
        <v>0.2</v>
      </c>
      <c r="D5" s="51">
        <f t="shared" si="1"/>
        <v>20000000</v>
      </c>
    </row>
    <row r="6" spans="1:4" x14ac:dyDescent="0.55000000000000004">
      <c r="A6" s="48">
        <f t="shared" si="0"/>
        <v>350000000</v>
      </c>
      <c r="B6" s="48">
        <v>500000000</v>
      </c>
      <c r="C6" s="49">
        <v>0.3</v>
      </c>
      <c r="D6" s="51">
        <f t="shared" si="1"/>
        <v>45000000</v>
      </c>
    </row>
    <row r="7" spans="1:4" x14ac:dyDescent="0.55000000000000004">
      <c r="A7" s="48">
        <f t="shared" si="0"/>
        <v>500000000</v>
      </c>
      <c r="B7" s="48">
        <v>10000000000</v>
      </c>
      <c r="C7" s="49">
        <v>0.3</v>
      </c>
      <c r="D7" s="51">
        <f t="shared" si="1"/>
        <v>2850000000</v>
      </c>
    </row>
    <row r="8" spans="1:4" x14ac:dyDescent="0.55000000000000004">
      <c r="A8" s="48">
        <f t="shared" si="0"/>
        <v>10000000000</v>
      </c>
      <c r="B8" s="48"/>
      <c r="C8" s="49"/>
      <c r="D8" s="51">
        <f t="shared" si="1"/>
        <v>0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32"/>
  <sheetViews>
    <sheetView rightToLeft="1" tabSelected="1" zoomScale="55" zoomScaleNormal="55" zoomScaleSheetLayoutView="70" workbookViewId="0">
      <pane xSplit="10" ySplit="5" topLeftCell="K6" activePane="bottomRight" state="frozen"/>
      <selection pane="topRight" activeCell="K1" sqref="K1"/>
      <selection pane="bottomLeft" activeCell="A6" sqref="A6"/>
      <selection pane="bottomRight" activeCell="I6" sqref="I6"/>
    </sheetView>
  </sheetViews>
  <sheetFormatPr defaultColWidth="9.109375" defaultRowHeight="13.2" x14ac:dyDescent="0.25"/>
  <cols>
    <col min="1" max="1" width="6.5546875" style="59" customWidth="1"/>
    <col min="2" max="2" width="16.88671875" style="59" customWidth="1"/>
    <col min="3" max="3" width="6.5546875" style="59" customWidth="1"/>
    <col min="4" max="4" width="9.88671875" style="59" customWidth="1"/>
    <col min="5" max="5" width="9.109375" style="59" customWidth="1"/>
    <col min="6" max="6" width="12.6640625" style="59" customWidth="1"/>
    <col min="7" max="7" width="9.109375" style="59" bestFit="1" customWidth="1"/>
    <col min="8" max="8" width="7.6640625" style="59" customWidth="1"/>
    <col min="9" max="9" width="16.6640625" style="59" bestFit="1" customWidth="1"/>
    <col min="10" max="10" width="15.109375" style="59" customWidth="1"/>
    <col min="11" max="11" width="21.6640625" style="59" bestFit="1" customWidth="1"/>
    <col min="12" max="12" width="17.44140625" style="59" customWidth="1"/>
    <col min="13" max="13" width="17.88671875" style="59" customWidth="1"/>
    <col min="14" max="14" width="13.109375" style="59" customWidth="1"/>
    <col min="15" max="15" width="16.33203125" style="59" customWidth="1"/>
    <col min="16" max="16" width="17.6640625" style="59" customWidth="1"/>
    <col min="17" max="17" width="18.109375" style="59" customWidth="1"/>
    <col min="18" max="18" width="14.88671875" style="59" customWidth="1"/>
    <col min="19" max="19" width="18.109375" style="59" customWidth="1"/>
    <col min="20" max="20" width="20.44140625" style="59" customWidth="1"/>
    <col min="21" max="21" width="22.44140625" style="59" customWidth="1"/>
    <col min="22" max="22" width="17" style="59" customWidth="1"/>
    <col min="23" max="23" width="14.33203125" style="59" customWidth="1"/>
    <col min="24" max="24" width="16.33203125" style="59" customWidth="1"/>
    <col min="25" max="25" width="20.88671875" style="59" customWidth="1"/>
    <col min="26" max="16384" width="9.109375" style="59"/>
  </cols>
  <sheetData>
    <row r="1" spans="1:25" ht="36" customHeight="1" x14ac:dyDescent="0.25">
      <c r="A1" s="92">
        <v>1</v>
      </c>
      <c r="B1" s="92">
        <v>2</v>
      </c>
      <c r="C1" s="92">
        <v>3</v>
      </c>
      <c r="D1" s="92">
        <v>4</v>
      </c>
      <c r="E1" s="92">
        <v>5</v>
      </c>
      <c r="F1" s="92">
        <v>6</v>
      </c>
      <c r="G1" s="92">
        <v>7</v>
      </c>
      <c r="H1" s="92">
        <v>8</v>
      </c>
      <c r="I1" s="92">
        <v>9</v>
      </c>
      <c r="J1" s="92">
        <v>10</v>
      </c>
      <c r="K1" s="92">
        <v>11</v>
      </c>
      <c r="L1" s="92">
        <v>12</v>
      </c>
      <c r="M1" s="92">
        <v>13</v>
      </c>
      <c r="N1" s="92">
        <v>14</v>
      </c>
      <c r="O1" s="92">
        <v>15</v>
      </c>
      <c r="P1" s="92">
        <v>16</v>
      </c>
      <c r="Q1" s="92">
        <v>17</v>
      </c>
      <c r="R1" s="92">
        <v>18</v>
      </c>
      <c r="S1" s="92">
        <v>19</v>
      </c>
      <c r="T1" s="92">
        <v>20</v>
      </c>
      <c r="U1" s="92">
        <v>21</v>
      </c>
      <c r="V1" s="92">
        <v>22</v>
      </c>
      <c r="W1" s="92">
        <v>23</v>
      </c>
      <c r="X1" s="92">
        <v>24</v>
      </c>
      <c r="Y1" s="92">
        <v>25</v>
      </c>
    </row>
    <row r="2" spans="1:25" ht="36" customHeight="1" x14ac:dyDescent="0.25">
      <c r="A2" s="93" t="s">
        <v>46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</row>
    <row r="3" spans="1:25" ht="36.75" customHeight="1" thickBot="1" x14ac:dyDescent="0.3">
      <c r="A3" s="93" t="str">
        <f>'اطلاعات پايه'!I1</f>
        <v>اردیبهشت 1401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</row>
    <row r="4" spans="1:25" s="60" customFormat="1" ht="26.25" customHeight="1" x14ac:dyDescent="0.5">
      <c r="A4" s="94" t="s">
        <v>40</v>
      </c>
      <c r="B4" s="95"/>
      <c r="C4" s="95"/>
      <c r="D4" s="95"/>
      <c r="E4" s="95"/>
      <c r="F4" s="95"/>
      <c r="G4" s="95"/>
      <c r="H4" s="95"/>
      <c r="I4" s="95"/>
      <c r="J4" s="96"/>
      <c r="K4" s="97" t="s">
        <v>45</v>
      </c>
      <c r="L4" s="98"/>
      <c r="M4" s="98"/>
      <c r="N4" s="98"/>
      <c r="O4" s="98"/>
      <c r="P4" s="98"/>
      <c r="Q4" s="98"/>
      <c r="R4" s="98"/>
      <c r="S4" s="98"/>
      <c r="T4" s="99"/>
      <c r="U4" s="100" t="s">
        <v>39</v>
      </c>
      <c r="V4" s="101"/>
      <c r="W4" s="101"/>
      <c r="X4" s="101"/>
      <c r="Y4" s="102" t="s">
        <v>22</v>
      </c>
    </row>
    <row r="5" spans="1:25" s="60" customFormat="1" ht="77.25" customHeight="1" thickBot="1" x14ac:dyDescent="0.55000000000000004">
      <c r="A5" s="61" t="s">
        <v>25</v>
      </c>
      <c r="B5" s="62" t="s">
        <v>2</v>
      </c>
      <c r="C5" s="61" t="s">
        <v>1</v>
      </c>
      <c r="D5" s="63" t="s">
        <v>62</v>
      </c>
      <c r="E5" s="62" t="s">
        <v>63</v>
      </c>
      <c r="F5" s="62" t="s">
        <v>47</v>
      </c>
      <c r="G5" s="64" t="s">
        <v>65</v>
      </c>
      <c r="H5" s="64" t="s">
        <v>0</v>
      </c>
      <c r="I5" s="62" t="s">
        <v>26</v>
      </c>
      <c r="J5" s="65" t="s">
        <v>8</v>
      </c>
      <c r="K5" s="66" t="s">
        <v>64</v>
      </c>
      <c r="L5" s="67" t="str">
        <f>'اطلاعات پايه'!M2</f>
        <v>فوق العاده مدیریت</v>
      </c>
      <c r="M5" s="68" t="str">
        <f>'اطلاعات پايه'!P2</f>
        <v>حق فنی</v>
      </c>
      <c r="N5" s="68" t="s">
        <v>53</v>
      </c>
      <c r="O5" s="68" t="s">
        <v>19</v>
      </c>
      <c r="P5" s="68" t="s">
        <v>42</v>
      </c>
      <c r="Q5" s="68" t="s">
        <v>20</v>
      </c>
      <c r="R5" s="68" t="s">
        <v>65</v>
      </c>
      <c r="S5" s="68" t="s">
        <v>44</v>
      </c>
      <c r="T5" s="69" t="s">
        <v>21</v>
      </c>
      <c r="U5" s="70" t="s">
        <v>52</v>
      </c>
      <c r="V5" s="71" t="s">
        <v>15</v>
      </c>
      <c r="W5" s="90" t="s">
        <v>74</v>
      </c>
      <c r="X5" s="90" t="s">
        <v>51</v>
      </c>
      <c r="Y5" s="103"/>
    </row>
    <row r="6" spans="1:25" ht="25.2" x14ac:dyDescent="0.75">
      <c r="A6" s="72">
        <f>'اطلاعات پايه'!A3</f>
        <v>1</v>
      </c>
      <c r="B6" s="73" t="str">
        <f>'اطلاعات پايه'!C3</f>
        <v>A</v>
      </c>
      <c r="C6" s="74">
        <f>'اطلاعات پايه'!D3</f>
        <v>2</v>
      </c>
      <c r="D6" s="74">
        <f>'اطلاعات پايه'!E3</f>
        <v>31</v>
      </c>
      <c r="E6" s="74">
        <f>'اطلاعات پايه'!G3</f>
        <v>0</v>
      </c>
      <c r="F6" s="74">
        <f>'اطلاعات پايه'!I3</f>
        <v>20</v>
      </c>
      <c r="G6" s="74">
        <f>'اطلاعات پايه'!J3</f>
        <v>0</v>
      </c>
      <c r="H6" s="74">
        <f>'اطلاعات پايه'!K3</f>
        <v>2</v>
      </c>
      <c r="I6" s="74">
        <f>('اطلاعات پايه'!L3*30)*1.4/220</f>
        <v>1374545.4545454546</v>
      </c>
      <c r="J6" s="75">
        <f>'اطلاعات پايه'!L3</f>
        <v>7200000</v>
      </c>
      <c r="K6" s="72">
        <f>D6*J6</f>
        <v>223200000</v>
      </c>
      <c r="L6" s="72">
        <f>D6*'اطلاعات پايه'!M3</f>
        <v>0</v>
      </c>
      <c r="M6" s="72">
        <f>'اطلاعات پايه'!P3*'اطلاعات پايه'!E3/'اطلاعات پايه'!L$1</f>
        <v>0</v>
      </c>
      <c r="N6" s="74">
        <f>H6*J6</f>
        <v>14400000</v>
      </c>
      <c r="O6" s="74">
        <f>ROUND('اطلاعات پايه'!P$1*D6*C6*3/'اطلاعات پايه'!L$1,0)</f>
        <v>8359500</v>
      </c>
      <c r="P6" s="74">
        <f>ROUND('اطلاعات پايه'!S3*'محاسبه داخلی'!D6/'اطلاعات پايه'!L$1,0)</f>
        <v>6500000</v>
      </c>
      <c r="Q6" s="74">
        <f>ROUND(F6*I6,0)</f>
        <v>27490909</v>
      </c>
      <c r="R6" s="74">
        <f>ROUND('اطلاعات پايه'!L3*0.35*'اطلاعات پايه'!J3/7.333333333,0)</f>
        <v>0</v>
      </c>
      <c r="S6" s="74">
        <f>ROUND('اطلاعات پايه'!T3*'اطلاعات پايه'!E3/'اطلاعات پايه'!L$1,0)</f>
        <v>8500000</v>
      </c>
      <c r="T6" s="75">
        <f>ROUND(SUM(K6:S6),0)</f>
        <v>288450409</v>
      </c>
      <c r="U6" s="72">
        <f>IF(T6-O6-N6&lt;=7*'اطلاعات پايه'!L$1*'اطلاعات پايه'!P$1,ROUNDUP((T6-O6-N6)*0.07,0),ROUNDUP((7*'اطلاعات پايه'!L$1*'اطلاعات پايه'!P$1*0.07),0))</f>
        <v>18598364</v>
      </c>
      <c r="V6" s="74">
        <f>IF((K6+L6+M6+Q6+R6-U6)&lt;'جدول مالیات'!B$2,0,IF((K6+L6+M6+Q6+R6-U6)&lt;'جدول مالیات'!B$3,((K6+L6+M6+Q6+R6-U6)-'جدول مالیات'!A$3)*'جدول مالیات'!C$3*'اطلاعات پايه'!V3,IF((K6+L6+M6+Q6+R6-U6)&lt;'جدول مالیات'!B$4,(((K6+L6+M6+Q6+R6-U6)-'جدول مالیات'!A$4)*'جدول مالیات'!C$4+'جدول مالیات'!D$3)*'اطلاعات پايه'!V3,IF((K6+L6+M6+Q6+R6-U6)&lt;'جدول مالیات'!B$5,((K6+L6+M6+Q6+R6-U6)-'جدول مالیات'!A$5)*'جدول مالیات'!C$5+('جدول مالیات'!D$4+'جدول مالیات'!D$3),IF((K6+L6+M6+Q6+R6-U6)&lt;'جدول مالیات'!B$6,((K6+L6+M6+Q6+R6-U6)-'جدول مالیات'!A$6)*0.25+('جدول مالیات'!D$5+'جدول مالیات'!D$4+'جدول مالیات'!D$3))))))</f>
        <v>21713881.75</v>
      </c>
      <c r="W6" s="76"/>
      <c r="X6" s="76"/>
      <c r="Y6" s="91">
        <f>T6-(U6+V6+X6+W6)</f>
        <v>248138163.25</v>
      </c>
    </row>
    <row r="7" spans="1:25" ht="25.2" x14ac:dyDescent="0.75">
      <c r="A7" s="72">
        <f>'اطلاعات پايه'!A4</f>
        <v>2</v>
      </c>
      <c r="B7" s="73" t="str">
        <f>'اطلاعات پايه'!C4</f>
        <v>B</v>
      </c>
      <c r="C7" s="74">
        <f>'اطلاعات پايه'!D4</f>
        <v>2</v>
      </c>
      <c r="D7" s="74">
        <f>'اطلاعات پايه'!E4</f>
        <v>31</v>
      </c>
      <c r="E7" s="74">
        <f>'اطلاعات پايه'!G4</f>
        <v>0</v>
      </c>
      <c r="F7" s="74">
        <f>'اطلاعات پايه'!I4</f>
        <v>15.5</v>
      </c>
      <c r="G7" s="74">
        <f>'اطلاعات پايه'!J4</f>
        <v>0</v>
      </c>
      <c r="H7" s="74">
        <f>'اطلاعات پايه'!K4</f>
        <v>0</v>
      </c>
      <c r="I7" s="74">
        <f>('اطلاعات پايه'!L4*30)*1.4/220</f>
        <v>279275.94545454544</v>
      </c>
      <c r="J7" s="75">
        <f>'اطلاعات پايه'!L4</f>
        <v>1462874</v>
      </c>
      <c r="K7" s="72">
        <f t="shared" ref="K7:K21" si="0">D7*J7</f>
        <v>45349094</v>
      </c>
      <c r="L7" s="72">
        <f>D7*'اطلاعات پايه'!M4</f>
        <v>31000000</v>
      </c>
      <c r="M7" s="72">
        <f>'اطلاعات پايه'!P4*'اطلاعات پايه'!E4/'اطلاعات پايه'!L$1</f>
        <v>0</v>
      </c>
      <c r="N7" s="74">
        <f t="shared" ref="N7:N21" si="1">H7*J7</f>
        <v>0</v>
      </c>
      <c r="O7" s="74">
        <f>ROUND('اطلاعات پايه'!P$1*D7*C7*3/'اطلاعات پايه'!L$1,0)</f>
        <v>8359500</v>
      </c>
      <c r="P7" s="74">
        <f>ROUND('اطلاعات پايه'!S4*'محاسبه داخلی'!D7/'اطلاعات پايه'!L$1,0)</f>
        <v>6500000</v>
      </c>
      <c r="Q7" s="74">
        <f t="shared" ref="Q7:Q21" si="2">ROUND(F7*I7,0)</f>
        <v>4328777</v>
      </c>
      <c r="R7" s="74">
        <f>ROUND('اطلاعات پايه'!L4*0.35*'اطلاعات پايه'!J4/7.333333333,0)</f>
        <v>0</v>
      </c>
      <c r="S7" s="74">
        <f>ROUND('اطلاعات پايه'!T4*'اطلاعات پايه'!E4/'اطلاعات پايه'!L$1,0)</f>
        <v>8500000</v>
      </c>
      <c r="T7" s="75">
        <f t="shared" ref="T7:T21" si="3">ROUND(SUM(K7:S7),0)</f>
        <v>104037371</v>
      </c>
      <c r="U7" s="72">
        <f>IF(T7-O7&lt;=7*'اطلاعات پايه'!L$1*'اطلاعات پايه'!P$1,ROUNDUP((T7-O7)*0.07,0),ROUNDUP((7*'اطلاعات پايه'!L$1*'اطلاعات پايه'!P$1*0.07),0))</f>
        <v>6697451</v>
      </c>
      <c r="V7" s="74">
        <f>IF((K7+L7+M7+Q7+R7-U7)&lt;'جدول مالیات'!B$2,0,IF((K7+L7+M7+Q7+R7-U7)&lt;'جدول مالیات'!B$3,((K7+L7+M7+Q7+R7-U7)-'جدول مالیات'!A$3)*'جدول مالیات'!C$3*'اطلاعات پايه'!V4,IF((K7+L7+M7+Q7+R7-U7)&lt;'جدول مالیات'!B$4,(((K7+L7+M7+Q7+R7-U7)-'جدول مالیات'!A$4)*'جدول مالیات'!C$4+'جدول مالیات'!D$3)*'اطلاعات پايه'!V4,IF((K7+L7+M7+Q7+R7-U7)&lt;'جدول مالیات'!B$5,((K7+L7+M7+Q7+R7-U7)-'جدول مالیات'!A$5)*'جدول مالیات'!C$5+('جدول مالیات'!D$4+'جدول مالیات'!D$3),IF((K7+L7+M7+Q7+R7-U7)&lt;'جدول مالیات'!B$6,((K7+L7+M7+Q7+R7-U7)-'جدول مالیات'!A$6)*0.25+('جدول مالیات'!D$5+'جدول مالیات'!D$4+'جدول مالیات'!D$3))))))</f>
        <v>1798042</v>
      </c>
      <c r="W7" s="76"/>
      <c r="X7" s="76"/>
      <c r="Y7" s="91">
        <f t="shared" ref="Y7:Y21" si="4">T7-(U7+V7+X7+W7)</f>
        <v>95541878</v>
      </c>
    </row>
    <row r="8" spans="1:25" ht="25.2" x14ac:dyDescent="0.75">
      <c r="A8" s="72">
        <f>'اطلاعات پايه'!A5</f>
        <v>3</v>
      </c>
      <c r="B8" s="73" t="str">
        <f>'اطلاعات پايه'!C5</f>
        <v>C</v>
      </c>
      <c r="C8" s="74">
        <f>'اطلاعات پايه'!D5</f>
        <v>0</v>
      </c>
      <c r="D8" s="74">
        <f>'اطلاعات پايه'!E5</f>
        <v>31</v>
      </c>
      <c r="E8" s="74">
        <f>'اطلاعات پايه'!G5</f>
        <v>0</v>
      </c>
      <c r="F8" s="74">
        <f>'اطلاعات پايه'!I5</f>
        <v>0</v>
      </c>
      <c r="G8" s="74">
        <f>'اطلاعات پايه'!J5</f>
        <v>0</v>
      </c>
      <c r="H8" s="74">
        <f>'اطلاعات پايه'!K5</f>
        <v>0</v>
      </c>
      <c r="I8" s="74">
        <f>('اطلاعات پايه'!L5*30)*1.4/220</f>
        <v>318948.19090909092</v>
      </c>
      <c r="J8" s="75">
        <f>'اطلاعات پايه'!L5</f>
        <v>1670681</v>
      </c>
      <c r="K8" s="72">
        <f t="shared" si="0"/>
        <v>51791111</v>
      </c>
      <c r="L8" s="72">
        <f>D8*'اطلاعات پايه'!M5</f>
        <v>0</v>
      </c>
      <c r="M8" s="72">
        <f>'اطلاعات پايه'!P5*'اطلاعات پايه'!E5/'اطلاعات پايه'!L$1</f>
        <v>0</v>
      </c>
      <c r="N8" s="74">
        <f t="shared" si="1"/>
        <v>0</v>
      </c>
      <c r="O8" s="74">
        <f>ROUND('اطلاعات پايه'!P$1*D8*C8*3/'اطلاعات پايه'!L$1,0)</f>
        <v>0</v>
      </c>
      <c r="P8" s="74">
        <f>ROUND('اطلاعات پايه'!S5*'محاسبه داخلی'!D8/'اطلاعات پايه'!L$1,0)</f>
        <v>6500000</v>
      </c>
      <c r="Q8" s="74">
        <f t="shared" si="2"/>
        <v>0</v>
      </c>
      <c r="R8" s="74">
        <f>ROUND('اطلاعات پايه'!L5*0.35*'اطلاعات پايه'!J5/7.333333333,0)</f>
        <v>0</v>
      </c>
      <c r="S8" s="74">
        <f>ROUND('اطلاعات پايه'!T5*'اطلاعات پايه'!E5/'اطلاعات پايه'!L$1,0)</f>
        <v>8500000</v>
      </c>
      <c r="T8" s="75">
        <f t="shared" si="3"/>
        <v>66791111</v>
      </c>
      <c r="U8" s="72">
        <f>IF(T8-O8&lt;=7*'اطلاعات پايه'!L$1*'اطلاعات پايه'!P$1,ROUNDUP((T8-O8)*0.07,0),ROUNDUP((7*'اطلاعات پايه'!L$1*'اطلاعات پايه'!P$1*0.07),0))</f>
        <v>4675378</v>
      </c>
      <c r="V8" s="74">
        <f>IF((K8+L8+M8+Q8+R8-U8)&lt;'جدول مالیات'!B$2,0,IF((K8+L8+M8+Q8+R8-U8)&lt;'جدول مالیات'!B$3,((K8+L8+M8+Q8+R8-U8)-'جدول مالیات'!A$3)*'جدول مالیات'!C$3*'اطلاعات پايه'!V5,IF((K8+L8+M8+Q8+R8-U8)&lt;'جدول مالیات'!B$4,(((K8+L8+M8+Q8+R8-U8)-'جدول مالیات'!A$4)*'جدول مالیات'!C$4+'جدول مالیات'!D$3)*'اطلاعات پايه'!V5,IF((K8+L8+M8+Q8+R8-U8)&lt;'جدول مالیات'!B$5,((K8+L8+M8+Q8+R8-U8)-'جدول مالیات'!A$5)*'جدول مالیات'!C$5+('جدول مالیات'!D$4+'جدول مالیات'!D$3),IF((K8+L8+M8+Q8+R8-U8)&lt;'جدول مالیات'!B$6,((K8+L8+M8+Q8+R8-U8)-'جدول مالیات'!A$6)*0.25+('جدول مالیات'!D$5+'جدول مالیات'!D$4+'جدول مالیات'!D$3))))))</f>
        <v>0</v>
      </c>
      <c r="W8" s="76"/>
      <c r="X8" s="76"/>
      <c r="Y8" s="91">
        <f t="shared" si="4"/>
        <v>62115733</v>
      </c>
    </row>
    <row r="9" spans="1:25" ht="25.2" x14ac:dyDescent="0.75">
      <c r="A9" s="72">
        <f>'اطلاعات پايه'!A6</f>
        <v>4</v>
      </c>
      <c r="B9" s="73" t="str">
        <f>'اطلاعات پايه'!C6</f>
        <v>D</v>
      </c>
      <c r="C9" s="74">
        <f>'اطلاعات پايه'!D6</f>
        <v>1</v>
      </c>
      <c r="D9" s="74">
        <f>'اطلاعات پايه'!E6</f>
        <v>31</v>
      </c>
      <c r="E9" s="74">
        <f>'اطلاعات پايه'!G6</f>
        <v>0</v>
      </c>
      <c r="F9" s="74">
        <f>'اطلاعات پايه'!I6</f>
        <v>50</v>
      </c>
      <c r="G9" s="74">
        <f>'اطلاعات پايه'!J6</f>
        <v>20</v>
      </c>
      <c r="H9" s="74">
        <f>'اطلاعات پايه'!K6</f>
        <v>0</v>
      </c>
      <c r="I9" s="74">
        <f>('اطلاعات پايه'!L6*30)*1.4/220</f>
        <v>318948.19090909092</v>
      </c>
      <c r="J9" s="75">
        <f>'اطلاعات پايه'!L6</f>
        <v>1670681</v>
      </c>
      <c r="K9" s="72">
        <f t="shared" si="0"/>
        <v>51791111</v>
      </c>
      <c r="L9" s="72">
        <f>D9*'اطلاعات پايه'!M6</f>
        <v>0</v>
      </c>
      <c r="M9" s="72">
        <f>'اطلاعات پايه'!P6*'اطلاعات پايه'!E6/'اطلاعات پايه'!L$1</f>
        <v>0</v>
      </c>
      <c r="N9" s="74">
        <f t="shared" si="1"/>
        <v>0</v>
      </c>
      <c r="O9" s="74">
        <f>ROUND('اطلاعات پايه'!P$1*D9*C9*3/'اطلاعات پايه'!L$1,0)</f>
        <v>4179750</v>
      </c>
      <c r="P9" s="74">
        <f>ROUND('اطلاعات پايه'!S6*'محاسبه داخلی'!D9/'اطلاعات پايه'!L$1,0)</f>
        <v>6500000</v>
      </c>
      <c r="Q9" s="74">
        <f t="shared" si="2"/>
        <v>15947410</v>
      </c>
      <c r="R9" s="74">
        <f>ROUND('اطلاعات پايه'!L6*0.35*'اطلاعات پايه'!J6/7.333333333,0)</f>
        <v>1594741</v>
      </c>
      <c r="S9" s="74">
        <f>ROUND('اطلاعات پايه'!T6*'اطلاعات پايه'!E6/'اطلاعات پايه'!L$1,0)</f>
        <v>8500000</v>
      </c>
      <c r="T9" s="75">
        <f t="shared" si="3"/>
        <v>88513012</v>
      </c>
      <c r="U9" s="72">
        <f>IF(T9-O9&lt;=7*'اطلاعات پايه'!L$1*'اطلاعات پايه'!P$1,ROUND((T9-O9)*0.07,0),ROUND((7*'اطلاعات پايه'!L$1*'اطلاعات پايه'!P$1*0.07),0))</f>
        <v>5903328</v>
      </c>
      <c r="V9" s="74">
        <f>IF((K9+L9+M9+Q9+R9-U9)&lt;'جدول مالیات'!B$2,0,IF((K9+L9+M9+Q9+R9-U9)&lt;'جدول مالیات'!B$3,((K9+L9+M9+Q9+R9-U9)-'جدول مالیات'!A$3)*'جدول مالیات'!C$3*'اطلاعات پايه'!V6,IF((K9+L9+M9+Q9+R9-U9)&lt;'جدول مالیات'!B$4,(((K9+L9+M9+Q9+R9-U9)-'جدول مالیات'!A$4)*'جدول مالیات'!C$4+'جدول مالیات'!D$3)*'اطلاعات پايه'!V6,IF((K9+L9+M9+Q9+R9-U9)&lt;'جدول مالیات'!B$5,((K9+L9+M9+Q9+R9-U9)-'جدول مالیات'!A$5)*'جدول مالیات'!C$5+('جدول مالیات'!D$4+'جدول مالیات'!D$3),IF((K9+L9+M9+Q9+R9-U9)&lt;'جدول مالیات'!B$6,((K9+L9+M9+Q9+R9-U9)-'جدول مالیات'!A$6)*0.25+('جدول مالیات'!D$5+'جدول مالیات'!D$4+'جدول مالیات'!D$3))))))</f>
        <v>742993.4</v>
      </c>
      <c r="W9" s="76"/>
      <c r="X9" s="76"/>
      <c r="Y9" s="91">
        <f t="shared" si="4"/>
        <v>81866690.599999994</v>
      </c>
    </row>
    <row r="10" spans="1:25" ht="25.2" x14ac:dyDescent="0.75">
      <c r="A10" s="72">
        <f>'اطلاعات پايه'!A7</f>
        <v>5</v>
      </c>
      <c r="B10" s="73" t="str">
        <f>'اطلاعات پايه'!C7</f>
        <v>E</v>
      </c>
      <c r="C10" s="74">
        <f>'اطلاعات پايه'!D7</f>
        <v>0</v>
      </c>
      <c r="D10" s="74">
        <f>'اطلاعات پايه'!E7</f>
        <v>31</v>
      </c>
      <c r="E10" s="74">
        <f>'اطلاعات پايه'!G7</f>
        <v>0</v>
      </c>
      <c r="F10" s="74">
        <f>'اطلاعات پايه'!I7</f>
        <v>0</v>
      </c>
      <c r="G10" s="74">
        <f>'اطلاعات پايه'!J7</f>
        <v>0</v>
      </c>
      <c r="H10" s="74">
        <f>'اطلاعات پايه'!K7</f>
        <v>0</v>
      </c>
      <c r="I10" s="74">
        <f>('اطلاعات پايه'!L7*30)*1.4/220</f>
        <v>308645.7818181818</v>
      </c>
      <c r="J10" s="75">
        <f>'اطلاعات پايه'!L7</f>
        <v>1616716</v>
      </c>
      <c r="K10" s="72">
        <f t="shared" si="0"/>
        <v>50118196</v>
      </c>
      <c r="L10" s="72">
        <f>D10*'اطلاعات پايه'!M7</f>
        <v>0</v>
      </c>
      <c r="M10" s="72">
        <f>'اطلاعات پايه'!P7*'اطلاعات پايه'!E7/'اطلاعات پايه'!L$1</f>
        <v>0</v>
      </c>
      <c r="N10" s="74">
        <f t="shared" si="1"/>
        <v>0</v>
      </c>
      <c r="O10" s="74">
        <f>ROUND('اطلاعات پايه'!P$1*D10*C10*3/'اطلاعات پايه'!L$1,0)</f>
        <v>0</v>
      </c>
      <c r="P10" s="74">
        <f>ROUND('اطلاعات پايه'!S7*'محاسبه داخلی'!D10/'اطلاعات پايه'!L$1,0)</f>
        <v>6500000</v>
      </c>
      <c r="Q10" s="74">
        <f t="shared" si="2"/>
        <v>0</v>
      </c>
      <c r="R10" s="74">
        <f>ROUND('اطلاعات پايه'!L7*0.35*'اطلاعات پايه'!J7/7.333333333,0)</f>
        <v>0</v>
      </c>
      <c r="S10" s="74">
        <f>ROUND('اطلاعات پايه'!T7*'اطلاعات پايه'!E7/'اطلاعات پايه'!L$1,0)</f>
        <v>8500000</v>
      </c>
      <c r="T10" s="75">
        <f t="shared" si="3"/>
        <v>65118196</v>
      </c>
      <c r="U10" s="72">
        <f>IF(T10-O10&lt;=7*'اطلاعات پايه'!L$1*'اطلاعات پايه'!P$1,ROUND((T10-O10)*0.07,0),ROUND((7*'اطلاعات پايه'!L$1*'اطلاعات پايه'!P$1*0.07),0))</f>
        <v>4558274</v>
      </c>
      <c r="V10" s="74">
        <f>IF((K10+L10+M10+Q10+R10-U10)&lt;'جدول مالیات'!B$2,0,IF((K10+L10+M10+Q10+R10-U10)&lt;'جدول مالیات'!B$3,((K10+L10+M10+Q10+R10-U10)-'جدول مالیات'!A$3)*'جدول مالیات'!C$3*'اطلاعات پايه'!V7,IF((K10+L10+M10+Q10+R10-U10)&lt;'جدول مالیات'!B$4,(((K10+L10+M10+Q10+R10-U10)-'جدول مالیات'!A$4)*'جدول مالیات'!C$4+'جدول مالیات'!D$3)*'اطلاعات پايه'!V7,IF((K10+L10+M10+Q10+R10-U10)&lt;'جدول مالیات'!B$5,((K10+L10+M10+Q10+R10-U10)-'جدول مالیات'!A$5)*'جدول مالیات'!C$5+('جدول مالیات'!D$4+'جدول مالیات'!D$3),IF((K10+L10+M10+Q10+R10-U10)&lt;'جدول مالیات'!B$6,((K10+L10+M10+Q10+R10-U10)-'جدول مالیات'!A$6)*0.25+('جدول مالیات'!D$5+'جدول مالیات'!D$4+'جدول مالیات'!D$3))))))</f>
        <v>0</v>
      </c>
      <c r="W10" s="76"/>
      <c r="X10" s="76"/>
      <c r="Y10" s="91">
        <f t="shared" si="4"/>
        <v>60559922</v>
      </c>
    </row>
    <row r="11" spans="1:25" ht="25.2" x14ac:dyDescent="0.75">
      <c r="A11" s="72">
        <f>'اطلاعات پايه'!A8</f>
        <v>6</v>
      </c>
      <c r="B11" s="73" t="str">
        <f>'اطلاعات پايه'!C8</f>
        <v>F</v>
      </c>
      <c r="C11" s="74">
        <f>'اطلاعات پايه'!D8</f>
        <v>0</v>
      </c>
      <c r="D11" s="74">
        <f>'اطلاعات پايه'!E8</f>
        <v>31</v>
      </c>
      <c r="E11" s="74">
        <f>'اطلاعات پايه'!G8</f>
        <v>0</v>
      </c>
      <c r="F11" s="74">
        <f>'اطلاعات پايه'!I8</f>
        <v>0</v>
      </c>
      <c r="G11" s="74">
        <f>'اطلاعات پايه'!J8</f>
        <v>0</v>
      </c>
      <c r="H11" s="74">
        <f>'اطلاعات پايه'!K8</f>
        <v>0</v>
      </c>
      <c r="I11" s="74">
        <f>('اطلاعات پايه'!L8*30)*1.4/220</f>
        <v>308645.7818181818</v>
      </c>
      <c r="J11" s="75">
        <f>'اطلاعات پايه'!L8</f>
        <v>1616716</v>
      </c>
      <c r="K11" s="72">
        <f t="shared" si="0"/>
        <v>50118196</v>
      </c>
      <c r="L11" s="72">
        <f>D11*'اطلاعات پايه'!M8</f>
        <v>0</v>
      </c>
      <c r="M11" s="72">
        <f>'اطلاعات پايه'!P8*'اطلاعات پايه'!E8/'اطلاعات پايه'!L$1</f>
        <v>0</v>
      </c>
      <c r="N11" s="74">
        <f t="shared" si="1"/>
        <v>0</v>
      </c>
      <c r="O11" s="74">
        <f>ROUND('اطلاعات پايه'!P$1*D11*C11*3/'اطلاعات پايه'!L$1,0)</f>
        <v>0</v>
      </c>
      <c r="P11" s="74">
        <f>ROUND('اطلاعات پايه'!S8*'محاسبه داخلی'!D11/'اطلاعات پايه'!L$1,0)</f>
        <v>6500000</v>
      </c>
      <c r="Q11" s="74">
        <f t="shared" si="2"/>
        <v>0</v>
      </c>
      <c r="R11" s="74">
        <f>ROUND('اطلاعات پايه'!L8*0.35*'اطلاعات پايه'!J8/7.333333333,0)</f>
        <v>0</v>
      </c>
      <c r="S11" s="74">
        <f>ROUND('اطلاعات پايه'!T8*'اطلاعات پايه'!E8/'اطلاعات پايه'!L$1,0)</f>
        <v>8500000</v>
      </c>
      <c r="T11" s="75">
        <f t="shared" si="3"/>
        <v>65118196</v>
      </c>
      <c r="U11" s="72">
        <f>IF(T11-O11&lt;=7*'اطلاعات پايه'!L$1*'اطلاعات پايه'!P$1,ROUND((T11-O11)*0.07,0),ROUND((7*'اطلاعات پايه'!L$1*'اطلاعات پايه'!P$1*0.07),0))</f>
        <v>4558274</v>
      </c>
      <c r="V11" s="74">
        <f>IF((K11+L11+M11+Q11+R11-U11)&lt;'جدول مالیات'!B$2,0,IF((K11+L11+M11+Q11+R11-U11)&lt;'جدول مالیات'!B$3,((K11+L11+M11+Q11+R11-U11)-'جدول مالیات'!A$3)*'جدول مالیات'!C$3*'اطلاعات پايه'!V8,IF((K11+L11+M11+Q11+R11-U11)&lt;'جدول مالیات'!B$4,(((K11+L11+M11+Q11+R11-U11)-'جدول مالیات'!A$4)*'جدول مالیات'!C$4+'جدول مالیات'!D$3)*'اطلاعات پايه'!V8,IF((K11+L11+M11+Q11+R11-U11)&lt;'جدول مالیات'!B$5,((K11+L11+M11+Q11+R11-U11)-'جدول مالیات'!A$5)*'جدول مالیات'!C$5+('جدول مالیات'!D$4+'جدول مالیات'!D$3),IF((K11+L11+M11+Q11+R11-U11)&lt;'جدول مالیات'!B$6,((K11+L11+M11+Q11+R11-U11)-'جدول مالیات'!A$6)*0.25+('جدول مالیات'!D$5+'جدول مالیات'!D$4+'جدول مالیات'!D$3))))))</f>
        <v>0</v>
      </c>
      <c r="W11" s="76"/>
      <c r="X11" s="76"/>
      <c r="Y11" s="91">
        <f t="shared" si="4"/>
        <v>60559922</v>
      </c>
    </row>
    <row r="12" spans="1:25" ht="25.2" x14ac:dyDescent="0.75">
      <c r="A12" s="72">
        <f>'اطلاعات پايه'!A9</f>
        <v>7</v>
      </c>
      <c r="B12" s="73" t="str">
        <f>'اطلاعات پايه'!C9</f>
        <v>G</v>
      </c>
      <c r="C12" s="74">
        <f>'اطلاعات پايه'!D9</f>
        <v>0</v>
      </c>
      <c r="D12" s="74">
        <f>'اطلاعات پايه'!E9</f>
        <v>31</v>
      </c>
      <c r="E12" s="74">
        <f>'اطلاعات پايه'!G9</f>
        <v>0</v>
      </c>
      <c r="F12" s="74">
        <f>'اطلاعات پايه'!I9</f>
        <v>0</v>
      </c>
      <c r="G12" s="74">
        <f>'اطلاعات پايه'!J9</f>
        <v>0</v>
      </c>
      <c r="H12" s="74">
        <f>'اطلاعات پايه'!K9</f>
        <v>0</v>
      </c>
      <c r="I12" s="74">
        <f>('اطلاعات پايه'!L9*30)*1.4/220</f>
        <v>299941.2818181818</v>
      </c>
      <c r="J12" s="75">
        <f>'اطلاعات پايه'!L9</f>
        <v>1571121</v>
      </c>
      <c r="K12" s="72">
        <f t="shared" si="0"/>
        <v>48704751</v>
      </c>
      <c r="L12" s="72">
        <f>D12*'اطلاعات پايه'!M9</f>
        <v>0</v>
      </c>
      <c r="M12" s="72">
        <f>'اطلاعات پايه'!P9*'اطلاعات پايه'!E9/'اطلاعات پايه'!L$1</f>
        <v>0</v>
      </c>
      <c r="N12" s="74">
        <f t="shared" si="1"/>
        <v>0</v>
      </c>
      <c r="O12" s="74">
        <f>ROUND('اطلاعات پايه'!P$1*D12*C12*3/'اطلاعات پايه'!L$1,0)</f>
        <v>0</v>
      </c>
      <c r="P12" s="74">
        <f>ROUND('اطلاعات پايه'!S9*'محاسبه داخلی'!D12/'اطلاعات پايه'!L$1,0)</f>
        <v>6500000</v>
      </c>
      <c r="Q12" s="74">
        <f t="shared" si="2"/>
        <v>0</v>
      </c>
      <c r="R12" s="74">
        <f>ROUND('اطلاعات پايه'!L9*0.35*'اطلاعات پايه'!J9/7.333333333,0)</f>
        <v>0</v>
      </c>
      <c r="S12" s="74">
        <f>ROUND('اطلاعات پايه'!T9*'اطلاعات پايه'!E9/'اطلاعات پايه'!L$1,0)</f>
        <v>8500000</v>
      </c>
      <c r="T12" s="75">
        <f t="shared" si="3"/>
        <v>63704751</v>
      </c>
      <c r="U12" s="72">
        <f>IF(T12-O12&lt;=7*'اطلاعات پايه'!L$1*'اطلاعات پايه'!P$1,ROUND((T12-O12)*0.07,0),ROUND((7*'اطلاعات پايه'!L$1*'اطلاعات پايه'!P$1*0.07),0))</f>
        <v>4459333</v>
      </c>
      <c r="V12" s="74">
        <f>IF((K12+L12+M12+Q12+R12-U12)&lt;'جدول مالیات'!B$2,0,IF((K12+L12+M12+Q12+R12-U12)&lt;'جدول مالیات'!B$3,((K12+L12+M12+Q12+R12-U12)-'جدول مالیات'!A$3)*'جدول مالیات'!C$3*'اطلاعات پايه'!V9,IF((K12+L12+M12+Q12+R12-U12)&lt;'جدول مالیات'!B$4,(((K12+L12+M12+Q12+R12-U12)-'جدول مالیات'!A$4)*'جدول مالیات'!C$4+'جدول مالیات'!D$3)*'اطلاعات پايه'!V9,IF((K12+L12+M12+Q12+R12-U12)&lt;'جدول مالیات'!B$5,((K12+L12+M12+Q12+R12-U12)-'جدول مالیات'!A$5)*'جدول مالیات'!C$5+('جدول مالیات'!D$4+'جدول مالیات'!D$3),IF((K12+L12+M12+Q12+R12-U12)&lt;'جدول مالیات'!B$6,((K12+L12+M12+Q12+R12-U12)-'جدول مالیات'!A$6)*0.25+('جدول مالیات'!D$5+'جدول مالیات'!D$4+'جدول مالیات'!D$3))))))</f>
        <v>0</v>
      </c>
      <c r="W12" s="76"/>
      <c r="X12" s="76"/>
      <c r="Y12" s="91">
        <f t="shared" si="4"/>
        <v>59245418</v>
      </c>
    </row>
    <row r="13" spans="1:25" ht="25.2" x14ac:dyDescent="0.75">
      <c r="A13" s="72">
        <f>'اطلاعات پايه'!A10</f>
        <v>8</v>
      </c>
      <c r="B13" s="73" t="str">
        <f>'اطلاعات پايه'!C10</f>
        <v>H</v>
      </c>
      <c r="C13" s="74">
        <f>'اطلاعات پايه'!D10</f>
        <v>2</v>
      </c>
      <c r="D13" s="74">
        <f>'اطلاعات پايه'!E10</f>
        <v>31</v>
      </c>
      <c r="E13" s="74">
        <f>'اطلاعات پايه'!G10</f>
        <v>0</v>
      </c>
      <c r="F13" s="74">
        <f>'اطلاعات پايه'!I10</f>
        <v>0</v>
      </c>
      <c r="G13" s="74">
        <f>'اطلاعات پايه'!J10</f>
        <v>0</v>
      </c>
      <c r="H13" s="74">
        <f>'اطلاعات پايه'!K10</f>
        <v>0</v>
      </c>
      <c r="I13" s="74">
        <f>('اطلاعات پايه'!L10*30)*1.4/220</f>
        <v>293486.64545454545</v>
      </c>
      <c r="J13" s="75">
        <f>'اطلاعات پايه'!L10</f>
        <v>1537311</v>
      </c>
      <c r="K13" s="72">
        <f t="shared" si="0"/>
        <v>47656641</v>
      </c>
      <c r="L13" s="72">
        <f>D13*'اطلاعات پايه'!M10</f>
        <v>0</v>
      </c>
      <c r="M13" s="72">
        <f>'اطلاعات پايه'!P10*'اطلاعات پايه'!E10/'اطلاعات پايه'!L$1</f>
        <v>0</v>
      </c>
      <c r="N13" s="74">
        <f t="shared" si="1"/>
        <v>0</v>
      </c>
      <c r="O13" s="74">
        <f>ROUND('اطلاعات پايه'!P$1*D13*C13*3/'اطلاعات پايه'!L$1,0)</f>
        <v>8359500</v>
      </c>
      <c r="P13" s="74">
        <f>ROUND('اطلاعات پايه'!S10*'محاسبه داخلی'!D13/'اطلاعات پايه'!L$1,0)</f>
        <v>6500000</v>
      </c>
      <c r="Q13" s="74">
        <f t="shared" si="2"/>
        <v>0</v>
      </c>
      <c r="R13" s="74">
        <f>ROUND('اطلاعات پايه'!L10*0.35*'اطلاعات پايه'!J10/7.333333333,0)</f>
        <v>0</v>
      </c>
      <c r="S13" s="74">
        <f>ROUND('اطلاعات پايه'!T10*'اطلاعات پايه'!E10/'اطلاعات پايه'!L$1,0)</f>
        <v>8500000</v>
      </c>
      <c r="T13" s="75">
        <f t="shared" si="3"/>
        <v>71016141</v>
      </c>
      <c r="U13" s="72">
        <f>IF(T13-O13&lt;=7*'اطلاعات پايه'!L$1*'اطلاعات پايه'!P$1,ROUND((T13-O13)*0.07,0),ROUND((7*'اطلاعات پايه'!L$1*'اطلاعات پايه'!P$1*0.07),0))</f>
        <v>4385965</v>
      </c>
      <c r="V13" s="74">
        <f>IF((K13+L13+M13+Q13+R13-U13)&lt;'جدول مالیات'!B$2,0,IF((K13+L13+M13+Q13+R13-U13)&lt;'جدول مالیات'!B$3,((K13+L13+M13+Q13+R13-U13)-'جدول مالیات'!A$3)*'جدول مالیات'!C$3*'اطلاعات پايه'!V10,IF((K13+L13+M13+Q13+R13-U13)&lt;'جدول مالیات'!B$4,(((K13+L13+M13+Q13+R13-U13)-'جدول مالیات'!A$4)*'جدول مالیات'!C$4+'جدول مالیات'!D$3)*'اطلاعات پايه'!V10,IF((K13+L13+M13+Q13+R13-U13)&lt;'جدول مالیات'!B$5,((K13+L13+M13+Q13+R13-U13)-'جدول مالیات'!A$5)*'جدول مالیات'!C$5+('جدول مالیات'!D$4+'جدول مالیات'!D$3),IF((K13+L13+M13+Q13+R13-U13)&lt;'جدول مالیات'!B$6,((K13+L13+M13+Q13+R13-U13)-'جدول مالیات'!A$6)*0.25+('جدول مالیات'!D$5+'جدول مالیات'!D$4+'جدول مالیات'!D$3))))))</f>
        <v>0</v>
      </c>
      <c r="W13" s="76"/>
      <c r="X13" s="76"/>
      <c r="Y13" s="91">
        <f t="shared" si="4"/>
        <v>66630176</v>
      </c>
    </row>
    <row r="14" spans="1:25" ht="25.2" x14ac:dyDescent="0.75">
      <c r="A14" s="72">
        <f>'اطلاعات پايه'!A11</f>
        <v>9</v>
      </c>
      <c r="B14" s="73" t="str">
        <f>'اطلاعات پايه'!C11</f>
        <v>I</v>
      </c>
      <c r="C14" s="74">
        <f>'اطلاعات پايه'!D11</f>
        <v>0</v>
      </c>
      <c r="D14" s="74">
        <f>'اطلاعات پايه'!E11</f>
        <v>31</v>
      </c>
      <c r="E14" s="74">
        <f>'اطلاعات پايه'!G11</f>
        <v>0</v>
      </c>
      <c r="F14" s="74">
        <f>'اطلاعات پايه'!I11</f>
        <v>0</v>
      </c>
      <c r="G14" s="74">
        <f>'اطلاعات پايه'!J11</f>
        <v>0</v>
      </c>
      <c r="H14" s="74">
        <f>'اطلاعات پايه'!K11</f>
        <v>0</v>
      </c>
      <c r="I14" s="74">
        <f>('اطلاعات پايه'!L11*30)*1.4/220</f>
        <v>274893.24545454542</v>
      </c>
      <c r="J14" s="75">
        <f>'اطلاعات پايه'!L11</f>
        <v>1439917</v>
      </c>
      <c r="K14" s="72">
        <f t="shared" si="0"/>
        <v>44637427</v>
      </c>
      <c r="L14" s="72">
        <f>D14*'اطلاعات پايه'!M11</f>
        <v>0</v>
      </c>
      <c r="M14" s="72">
        <f>'اطلاعات پايه'!P11*'اطلاعات پايه'!E11/'اطلاعات پايه'!L$1</f>
        <v>0</v>
      </c>
      <c r="N14" s="74">
        <f t="shared" si="1"/>
        <v>0</v>
      </c>
      <c r="O14" s="74">
        <f>ROUND('اطلاعات پايه'!P$1*D14*C14*3/'اطلاعات پايه'!L$1,0)</f>
        <v>0</v>
      </c>
      <c r="P14" s="74">
        <f>ROUND('اطلاعات پايه'!S11*'محاسبه داخلی'!D14/'اطلاعات پايه'!L$1,0)</f>
        <v>6500000</v>
      </c>
      <c r="Q14" s="74">
        <f t="shared" si="2"/>
        <v>0</v>
      </c>
      <c r="R14" s="74">
        <f>ROUND('اطلاعات پايه'!L11*0.35*'اطلاعات پايه'!J11/7.333333333,0)</f>
        <v>0</v>
      </c>
      <c r="S14" s="74">
        <f>ROUND('اطلاعات پايه'!T11*'اطلاعات پايه'!E11/'اطلاعات پايه'!L$1,0)</f>
        <v>8500000</v>
      </c>
      <c r="T14" s="75">
        <f t="shared" si="3"/>
        <v>59637427</v>
      </c>
      <c r="U14" s="72">
        <f>IF(T14-O14&lt;=7*'اطلاعات پايه'!L$1*'اطلاعات پايه'!P$1,ROUND((T14-O14)*0.07,0),ROUND((7*'اطلاعات پايه'!L$1*'اطلاعات پايه'!P$1*0.07),0))</f>
        <v>4174620</v>
      </c>
      <c r="V14" s="74">
        <f>IF((K14+L14+M14+Q14+R14-U14)&lt;'جدول مالیات'!B$2,0,IF((K14+L14+M14+Q14+R14-U14)&lt;'جدول مالیات'!B$3,((K14+L14+M14+Q14+R14-U14)-'جدول مالیات'!A$3)*'جدول مالیات'!C$3*'اطلاعات پايه'!V11,IF((K14+L14+M14+Q14+R14-U14)&lt;'جدول مالیات'!B$4,(((K14+L14+M14+Q14+R14-U14)-'جدول مالیات'!A$4)*'جدول مالیات'!C$4+'جدول مالیات'!D$3)*'اطلاعات پايه'!V11,IF((K14+L14+M14+Q14+R14-U14)&lt;'جدول مالیات'!B$5,((K14+L14+M14+Q14+R14-U14)-'جدول مالیات'!A$5)*'جدول مالیات'!C$5+('جدول مالیات'!D$4+'جدول مالیات'!D$3),IF((K14+L14+M14+Q14+R14-U14)&lt;'جدول مالیات'!B$6,((K14+L14+M14+Q14+R14-U14)-'جدول مالیات'!A$6)*0.25+('جدول مالیات'!D$5+'جدول مالیات'!D$4+'جدول مالیات'!D$3))))))</f>
        <v>0</v>
      </c>
      <c r="W14" s="76"/>
      <c r="X14" s="76"/>
      <c r="Y14" s="91">
        <f t="shared" si="4"/>
        <v>55462807</v>
      </c>
    </row>
    <row r="15" spans="1:25" ht="25.2" x14ac:dyDescent="0.75">
      <c r="A15" s="72">
        <f>'اطلاعات پايه'!A12</f>
        <v>10</v>
      </c>
      <c r="B15" s="73" t="str">
        <f>'اطلاعات پايه'!C12</f>
        <v>J</v>
      </c>
      <c r="C15" s="74">
        <f>'اطلاعات پايه'!D12</f>
        <v>0</v>
      </c>
      <c r="D15" s="74">
        <f>'اطلاعات پايه'!E12</f>
        <v>31</v>
      </c>
      <c r="E15" s="74">
        <f>'اطلاعات پايه'!G12</f>
        <v>0</v>
      </c>
      <c r="F15" s="74">
        <f>'اطلاعات پايه'!I12</f>
        <v>0</v>
      </c>
      <c r="G15" s="74">
        <f>'اطلاعات پايه'!J12</f>
        <v>0</v>
      </c>
      <c r="H15" s="74">
        <f>'اطلاعات پايه'!K12</f>
        <v>0</v>
      </c>
      <c r="I15" s="74">
        <f>('اطلاعات پايه'!L12*30)*1.4/220</f>
        <v>273779.67272727267</v>
      </c>
      <c r="J15" s="75">
        <f>'اطلاعات پايه'!L12</f>
        <v>1434084</v>
      </c>
      <c r="K15" s="72">
        <f t="shared" si="0"/>
        <v>44456604</v>
      </c>
      <c r="L15" s="72">
        <f>D15*'اطلاعات پايه'!M12</f>
        <v>0</v>
      </c>
      <c r="M15" s="72">
        <f>'اطلاعات پايه'!P12*'اطلاعات پايه'!E12/'اطلاعات پايه'!L$1</f>
        <v>0</v>
      </c>
      <c r="N15" s="74">
        <f t="shared" si="1"/>
        <v>0</v>
      </c>
      <c r="O15" s="74">
        <f>ROUND('اطلاعات پايه'!P$1*D15*C15*3/'اطلاعات پايه'!L$1,0)</f>
        <v>0</v>
      </c>
      <c r="P15" s="74">
        <f>ROUND('اطلاعات پايه'!S12*'محاسبه داخلی'!D15/'اطلاعات پايه'!L$1,0)</f>
        <v>6500000</v>
      </c>
      <c r="Q15" s="74">
        <f t="shared" si="2"/>
        <v>0</v>
      </c>
      <c r="R15" s="74">
        <f>ROUND('اطلاعات پايه'!L12*0.35*'اطلاعات پايه'!J12/7.333333333,0)</f>
        <v>0</v>
      </c>
      <c r="S15" s="74">
        <f>ROUND('اطلاعات پايه'!T12*'اطلاعات پايه'!E12/'اطلاعات پايه'!L$1,0)</f>
        <v>8500000</v>
      </c>
      <c r="T15" s="75">
        <f t="shared" si="3"/>
        <v>59456604</v>
      </c>
      <c r="U15" s="72">
        <f>IF(T15-O15&lt;=7*'اطلاعات پايه'!L$1*'اطلاعات پايه'!P$1,ROUND((T15-O15)*0.07,0),ROUND((7*'اطلاعات پايه'!L$1*'اطلاعات پايه'!P$1*0.07),0))</f>
        <v>4161962</v>
      </c>
      <c r="V15" s="74">
        <f>IF((K15+L15+M15+Q15+R15-U15)&lt;'جدول مالیات'!B$2,0,IF((K15+L15+M15+Q15+R15-U15)&lt;'جدول مالیات'!B$3,((K15+L15+M15+Q15+R15-U15)-'جدول مالیات'!A$3)*'جدول مالیات'!C$3*'اطلاعات پايه'!V12,IF((K15+L15+M15+Q15+R15-U15)&lt;'جدول مالیات'!B$4,(((K15+L15+M15+Q15+R15-U15)-'جدول مالیات'!A$4)*'جدول مالیات'!C$4+'جدول مالیات'!D$3)*'اطلاعات پايه'!V12,IF((K15+L15+M15+Q15+R15-U15)&lt;'جدول مالیات'!B$5,((K15+L15+M15+Q15+R15-U15)-'جدول مالیات'!A$5)*'جدول مالیات'!C$5+('جدول مالیات'!D$4+'جدول مالیات'!D$3),IF((K15+L15+M15+Q15+R15-U15)&lt;'جدول مالیات'!B$6,((K15+L15+M15+Q15+R15-U15)-'جدول مالیات'!A$6)*0.25+('جدول مالیات'!D$5+'جدول مالیات'!D$4+'جدول مالیات'!D$3))))))</f>
        <v>0</v>
      </c>
      <c r="W15" s="76"/>
      <c r="X15" s="76"/>
      <c r="Y15" s="91">
        <f t="shared" si="4"/>
        <v>55294642</v>
      </c>
    </row>
    <row r="16" spans="1:25" ht="25.2" x14ac:dyDescent="0.75">
      <c r="A16" s="72">
        <f>'اطلاعات پايه'!A13</f>
        <v>11</v>
      </c>
      <c r="B16" s="73" t="str">
        <f>'اطلاعات پايه'!C13</f>
        <v>K</v>
      </c>
      <c r="C16" s="74">
        <f>'اطلاعات پايه'!D13</f>
        <v>1</v>
      </c>
      <c r="D16" s="74">
        <f>'اطلاعات پايه'!E13</f>
        <v>31</v>
      </c>
      <c r="E16" s="74">
        <f>'اطلاعات پايه'!G13</f>
        <v>0</v>
      </c>
      <c r="F16" s="74">
        <f>'اطلاعات پايه'!I13</f>
        <v>0</v>
      </c>
      <c r="G16" s="74">
        <f>'اطلاعات پايه'!J13</f>
        <v>0</v>
      </c>
      <c r="H16" s="74">
        <f>'اطلاعات پايه'!K13</f>
        <v>0</v>
      </c>
      <c r="I16" s="74">
        <f>('اطلاعات پايه'!L13*30)*1.4/220</f>
        <v>272665.90909090906</v>
      </c>
      <c r="J16" s="75">
        <f>'اطلاعات پايه'!L13</f>
        <v>1428250</v>
      </c>
      <c r="K16" s="72">
        <f t="shared" si="0"/>
        <v>44275750</v>
      </c>
      <c r="L16" s="72">
        <f>D16*'اطلاعات پايه'!M13</f>
        <v>0</v>
      </c>
      <c r="M16" s="72">
        <f>'اطلاعات پايه'!P13*'اطلاعات پايه'!E13/'اطلاعات پايه'!L$1</f>
        <v>0</v>
      </c>
      <c r="N16" s="74">
        <f t="shared" si="1"/>
        <v>0</v>
      </c>
      <c r="O16" s="74">
        <f>ROUND('اطلاعات پايه'!P$1*D16*C16*3/'اطلاعات پايه'!L$1,0)</f>
        <v>4179750</v>
      </c>
      <c r="P16" s="74">
        <f>ROUND('اطلاعات پايه'!S13*'محاسبه داخلی'!D16/'اطلاعات پايه'!L$1,0)</f>
        <v>6500000</v>
      </c>
      <c r="Q16" s="74">
        <f t="shared" si="2"/>
        <v>0</v>
      </c>
      <c r="R16" s="74">
        <f>ROUND('اطلاعات پايه'!L13*0.35*'اطلاعات پايه'!J13/7.333333333,0)</f>
        <v>0</v>
      </c>
      <c r="S16" s="74">
        <f>ROUND('اطلاعات پايه'!T13*'اطلاعات پايه'!E13/'اطلاعات پايه'!L$1,0)</f>
        <v>8500000</v>
      </c>
      <c r="T16" s="75">
        <f t="shared" si="3"/>
        <v>63455500</v>
      </c>
      <c r="U16" s="72">
        <f>IF(T16-O16&lt;=7*'اطلاعات پايه'!L$1*'اطلاعات پايه'!P$1,ROUND((T16-O16)*0.07,0),ROUND((7*'اطلاعات پايه'!L$1*'اطلاعات پايه'!P$1*0.07),0))</f>
        <v>4149303</v>
      </c>
      <c r="V16" s="74">
        <f>IF((K16+L16+M16+Q16+R16-U16)&lt;'جدول مالیات'!B$2,0,IF((K16+L16+M16+Q16+R16-U16)&lt;'جدول مالیات'!B$3,((K16+L16+M16+Q16+R16-U16)-'جدول مالیات'!A$3)*'جدول مالیات'!C$3*'اطلاعات پايه'!V13,IF((K16+L16+M16+Q16+R16-U16)&lt;'جدول مالیات'!B$4,(((K16+L16+M16+Q16+R16-U16)-'جدول مالیات'!A$4)*'جدول مالیات'!C$4+'جدول مالیات'!D$3)*'اطلاعات پايه'!V13,IF((K16+L16+M16+Q16+R16-U16)&lt;'جدول مالیات'!B$5,((K16+L16+M16+Q16+R16-U16)-'جدول مالیات'!A$5)*'جدول مالیات'!C$5+('جدول مالیات'!D$4+'جدول مالیات'!D$3),IF((K16+L16+M16+Q16+R16-U16)&lt;'جدول مالیات'!B$6,((K16+L16+M16+Q16+R16-U16)-'جدول مالیات'!A$6)*0.25+('جدول مالیات'!D$5+'جدول مالیات'!D$4+'جدول مالیات'!D$3))))))</f>
        <v>0</v>
      </c>
      <c r="W16" s="76"/>
      <c r="X16" s="76"/>
      <c r="Y16" s="91">
        <f t="shared" si="4"/>
        <v>59306197</v>
      </c>
    </row>
    <row r="17" spans="1:25" ht="25.2" x14ac:dyDescent="0.75">
      <c r="A17" s="72">
        <f>'اطلاعات پايه'!A14</f>
        <v>12</v>
      </c>
      <c r="B17" s="73" t="str">
        <f>'اطلاعات پايه'!C14</f>
        <v>L</v>
      </c>
      <c r="C17" s="74">
        <f>'اطلاعات پايه'!D14</f>
        <v>0</v>
      </c>
      <c r="D17" s="74">
        <f>'اطلاعات پايه'!E14</f>
        <v>31</v>
      </c>
      <c r="E17" s="74">
        <f>'اطلاعات پايه'!G14</f>
        <v>0</v>
      </c>
      <c r="F17" s="74">
        <f>'اطلاعات پايه'!I14</f>
        <v>0</v>
      </c>
      <c r="G17" s="74">
        <f>'اطلاعات پايه'!J14</f>
        <v>0</v>
      </c>
      <c r="H17" s="74">
        <f>'اطلاعات پايه'!K14</f>
        <v>0</v>
      </c>
      <c r="I17" s="74">
        <f>('اطلاعات پايه'!L14*30)*1.4/220</f>
        <v>271552.33636363631</v>
      </c>
      <c r="J17" s="75">
        <f>'اطلاعات پايه'!L14</f>
        <v>1422417</v>
      </c>
      <c r="K17" s="72">
        <f t="shared" si="0"/>
        <v>44094927</v>
      </c>
      <c r="L17" s="72">
        <f>D17*'اطلاعات پايه'!M14</f>
        <v>0</v>
      </c>
      <c r="M17" s="72">
        <f>'اطلاعات پايه'!P14*'اطلاعات پايه'!E14/'اطلاعات پايه'!L$1</f>
        <v>0</v>
      </c>
      <c r="N17" s="74">
        <f t="shared" si="1"/>
        <v>0</v>
      </c>
      <c r="O17" s="74">
        <f>ROUND('اطلاعات پايه'!P$1*D17*C17*3/'اطلاعات پايه'!L$1,0)</f>
        <v>0</v>
      </c>
      <c r="P17" s="74">
        <f>ROUND('اطلاعات پايه'!S14*'محاسبه داخلی'!D17/'اطلاعات پايه'!L$1,0)</f>
        <v>6500000</v>
      </c>
      <c r="Q17" s="74">
        <f t="shared" si="2"/>
        <v>0</v>
      </c>
      <c r="R17" s="74">
        <f>ROUND('اطلاعات پايه'!L14*0.35*'اطلاعات پايه'!J14/7.333333333,0)</f>
        <v>0</v>
      </c>
      <c r="S17" s="74">
        <f>ROUND('اطلاعات پايه'!T14*'اطلاعات پايه'!E14/'اطلاعات پايه'!L$1,0)</f>
        <v>8500000</v>
      </c>
      <c r="T17" s="75">
        <f t="shared" si="3"/>
        <v>59094927</v>
      </c>
      <c r="U17" s="72">
        <f>IF(T17-O17&lt;=7*'اطلاعات پايه'!L$1*'اطلاعات پايه'!P$1,ROUND((T17-O17)*0.07,0),ROUND((7*'اطلاعات پايه'!L$1*'اطلاعات پايه'!P$1*0.07),0))</f>
        <v>4136645</v>
      </c>
      <c r="V17" s="74">
        <f>IF((K17+L17+M17+Q17+R17-U17)&lt;'جدول مالیات'!B$2,0,IF((K17+L17+M17+Q17+R17-U17)&lt;'جدول مالیات'!B$3,((K17+L17+M17+Q17+R17-U17)-'جدول مالیات'!A$3)*'جدول مالیات'!C$3*'اطلاعات پايه'!V14,IF((K17+L17+M17+Q17+R17-U17)&lt;'جدول مالیات'!B$4,(((K17+L17+M17+Q17+R17-U17)-'جدول مالیات'!A$4)*'جدول مالیات'!C$4+'جدول مالیات'!D$3)*'اطلاعات پايه'!V14,IF((K17+L17+M17+Q17+R17-U17)&lt;'جدول مالیات'!B$5,((K17+L17+M17+Q17+R17-U17)-'جدول مالیات'!A$5)*'جدول مالیات'!C$5+('جدول مالیات'!D$4+'جدول مالیات'!D$3),IF((K17+L17+M17+Q17+R17-U17)&lt;'جدول مالیات'!B$6,((K17+L17+M17+Q17+R17-U17)-'جدول مالیات'!A$6)*0.25+('جدول مالیات'!D$5+'جدول مالیات'!D$4+'جدول مالیات'!D$3))))))</f>
        <v>0</v>
      </c>
      <c r="W17" s="76"/>
      <c r="X17" s="76"/>
      <c r="Y17" s="91">
        <f t="shared" si="4"/>
        <v>54958282</v>
      </c>
    </row>
    <row r="18" spans="1:25" ht="25.2" x14ac:dyDescent="0.75">
      <c r="A18" s="72">
        <f>'اطلاعات پايه'!A15</f>
        <v>13</v>
      </c>
      <c r="B18" s="73" t="str">
        <f>'اطلاعات پايه'!C15</f>
        <v>M</v>
      </c>
      <c r="C18" s="74">
        <f>'اطلاعات پايه'!D15</f>
        <v>0</v>
      </c>
      <c r="D18" s="74">
        <f>'اطلاعات پايه'!E15</f>
        <v>31</v>
      </c>
      <c r="E18" s="74">
        <f>'اطلاعات پايه'!G15</f>
        <v>0</v>
      </c>
      <c r="F18" s="74">
        <f>'اطلاعات پايه'!I15</f>
        <v>0</v>
      </c>
      <c r="G18" s="74">
        <f>'اطلاعات پايه'!J15</f>
        <v>0</v>
      </c>
      <c r="H18" s="74">
        <f>'اطلاعات پايه'!K15</f>
        <v>0</v>
      </c>
      <c r="I18" s="74">
        <f>('اطلاعات پايه'!L15*30)*1.4/220</f>
        <v>265984.09090909088</v>
      </c>
      <c r="J18" s="75">
        <f>'اطلاعات پايه'!L15</f>
        <v>1393250</v>
      </c>
      <c r="K18" s="72">
        <f t="shared" si="0"/>
        <v>43190750</v>
      </c>
      <c r="L18" s="72">
        <f>D18*'اطلاعات پايه'!M15</f>
        <v>0</v>
      </c>
      <c r="M18" s="72">
        <f>'اطلاعات پايه'!P15*'اطلاعات پايه'!E15/'اطلاعات پايه'!L$1</f>
        <v>0</v>
      </c>
      <c r="N18" s="74">
        <f t="shared" si="1"/>
        <v>0</v>
      </c>
      <c r="O18" s="74">
        <f>ROUND('اطلاعات پايه'!P$1*D18*C18*3/'اطلاعات پايه'!L$1,0)</f>
        <v>0</v>
      </c>
      <c r="P18" s="74">
        <f>ROUND('اطلاعات پايه'!S15*'محاسبه داخلی'!D18/'اطلاعات پايه'!L$1,0)</f>
        <v>6500000</v>
      </c>
      <c r="Q18" s="74">
        <f t="shared" si="2"/>
        <v>0</v>
      </c>
      <c r="R18" s="74">
        <f>ROUND('اطلاعات پايه'!L15*0.35*'اطلاعات پايه'!J15/7.333333333,0)</f>
        <v>0</v>
      </c>
      <c r="S18" s="74">
        <f>ROUND('اطلاعات پايه'!T15*'اطلاعات پايه'!E15/'اطلاعات پايه'!L$1,0)</f>
        <v>8500000</v>
      </c>
      <c r="T18" s="75">
        <f t="shared" si="3"/>
        <v>58190750</v>
      </c>
      <c r="U18" s="72">
        <f>IF(T18-O18&lt;=7*'اطلاعات پايه'!L$1*'اطلاعات پايه'!P$1,ROUND((T18-O18)*0.07,0),ROUND((7*'اطلاعات پايه'!L$1*'اطلاعات پايه'!P$1*0.07),0))</f>
        <v>4073353</v>
      </c>
      <c r="V18" s="74">
        <f>IF((K18+L18+M18+Q18+R18-U18)&lt;'جدول مالیات'!B$2,0,IF((K18+L18+M18+Q18+R18-U18)&lt;'جدول مالیات'!B$3,((K18+L18+M18+Q18+R18-U18)-'جدول مالیات'!A$3)*'جدول مالیات'!C$3*'اطلاعات پايه'!V15,IF((K18+L18+M18+Q18+R18-U18)&lt;'جدول مالیات'!B$4,(((K18+L18+M18+Q18+R18-U18)-'جدول مالیات'!A$4)*'جدول مالیات'!C$4+'جدول مالیات'!D$3)*'اطلاعات پايه'!V15,IF((K18+L18+M18+Q18+R18-U18)&lt;'جدول مالیات'!B$5,((K18+L18+M18+Q18+R18-U18)-'جدول مالیات'!A$5)*'جدول مالیات'!C$5+('جدول مالیات'!D$4+'جدول مالیات'!D$3),IF((K18+L18+M18+Q18+R18-U18)&lt;'جدول مالیات'!B$6,((K18+L18+M18+Q18+R18-U18)-'جدول مالیات'!A$6)*0.25+('جدول مالیات'!D$5+'جدول مالیات'!D$4+'جدول مالیات'!D$3))))))</f>
        <v>0</v>
      </c>
      <c r="W18" s="76"/>
      <c r="X18" s="76"/>
      <c r="Y18" s="91">
        <f t="shared" si="4"/>
        <v>54117397</v>
      </c>
    </row>
    <row r="19" spans="1:25" ht="25.2" x14ac:dyDescent="0.75">
      <c r="A19" s="72">
        <f>'اطلاعات پايه'!A16</f>
        <v>14</v>
      </c>
      <c r="B19" s="73" t="str">
        <f>'اطلاعات پايه'!C16</f>
        <v>N</v>
      </c>
      <c r="C19" s="74">
        <f>'اطلاعات پايه'!D16</f>
        <v>1</v>
      </c>
      <c r="D19" s="74">
        <f>'اطلاعات پايه'!E16</f>
        <v>31</v>
      </c>
      <c r="E19" s="74">
        <f>'اطلاعات پايه'!G16</f>
        <v>0</v>
      </c>
      <c r="F19" s="74">
        <f>'اطلاعات پايه'!I16</f>
        <v>0</v>
      </c>
      <c r="G19" s="74">
        <f>'اطلاعات پايه'!J16</f>
        <v>0</v>
      </c>
      <c r="H19" s="74">
        <f>'اطلاعات پايه'!K16</f>
        <v>0</v>
      </c>
      <c r="I19" s="74">
        <f>('اطلاعات پايه'!L16*30)*1.4/220</f>
        <v>265984.09090909088</v>
      </c>
      <c r="J19" s="75">
        <f>'اطلاعات پايه'!L16</f>
        <v>1393250</v>
      </c>
      <c r="K19" s="72">
        <f t="shared" si="0"/>
        <v>43190750</v>
      </c>
      <c r="L19" s="72">
        <f>D19*'اطلاعات پايه'!M16</f>
        <v>0</v>
      </c>
      <c r="M19" s="72">
        <f>'اطلاعات پايه'!P16*'اطلاعات پايه'!E16/'اطلاعات پايه'!L$1</f>
        <v>0</v>
      </c>
      <c r="N19" s="74">
        <f t="shared" si="1"/>
        <v>0</v>
      </c>
      <c r="O19" s="74">
        <f>ROUND('اطلاعات پايه'!P$1*D19*C19*3/'اطلاعات پايه'!L$1,0)</f>
        <v>4179750</v>
      </c>
      <c r="P19" s="74">
        <f>ROUND('اطلاعات پايه'!S16*'محاسبه داخلی'!D19/'اطلاعات پايه'!L$1,0)</f>
        <v>6500000</v>
      </c>
      <c r="Q19" s="74">
        <f t="shared" si="2"/>
        <v>0</v>
      </c>
      <c r="R19" s="74">
        <f>ROUND('اطلاعات پايه'!L16*0.35*'اطلاعات پايه'!J16/7.333333333,0)</f>
        <v>0</v>
      </c>
      <c r="S19" s="74">
        <f>ROUND('اطلاعات پايه'!T16*'اطلاعات پايه'!E16/'اطلاعات پايه'!L$1,0)</f>
        <v>8500000</v>
      </c>
      <c r="T19" s="75">
        <f t="shared" si="3"/>
        <v>62370500</v>
      </c>
      <c r="U19" s="72">
        <f>IF(T19-O19&lt;=7*'اطلاعات پايه'!L$1*'اطلاعات پايه'!P$1,ROUND((T19-O19)*0.07,0),ROUND((7*'اطلاعات پايه'!L$1*'اطلاعات پايه'!P$1*0.07),0))</f>
        <v>4073353</v>
      </c>
      <c r="V19" s="74">
        <f>IF((K19+L19+M19+Q19+R19-U19)&lt;'جدول مالیات'!B$2,0,IF((K19+L19+M19+Q19+R19-U19)&lt;'جدول مالیات'!B$3,((K19+L19+M19+Q19+R19-U19)-'جدول مالیات'!A$3)*'جدول مالیات'!C$3*'اطلاعات پايه'!V16,IF((K19+L19+M19+Q19+R19-U19)&lt;'جدول مالیات'!B$4,(((K19+L19+M19+Q19+R19-U19)-'جدول مالیات'!A$4)*'جدول مالیات'!C$4+'جدول مالیات'!D$3)*'اطلاعات پايه'!V16,IF((K19+L19+M19+Q19+R19-U19)&lt;'جدول مالیات'!B$5,((K19+L19+M19+Q19+R19-U19)-'جدول مالیات'!A$5)*'جدول مالیات'!C$5+('جدول مالیات'!D$4+'جدول مالیات'!D$3),IF((K19+L19+M19+Q19+R19-U19)&lt;'جدول مالیات'!B$6,((K19+L19+M19+Q19+R19-U19)-'جدول مالیات'!A$6)*0.25+('جدول مالیات'!D$5+'جدول مالیات'!D$4+'جدول مالیات'!D$3))))))</f>
        <v>0</v>
      </c>
      <c r="W19" s="76"/>
      <c r="X19" s="76"/>
      <c r="Y19" s="91">
        <f t="shared" si="4"/>
        <v>58297147</v>
      </c>
    </row>
    <row r="20" spans="1:25" ht="25.2" x14ac:dyDescent="0.75">
      <c r="A20" s="72">
        <f>'اطلاعات پايه'!A17</f>
        <v>15</v>
      </c>
      <c r="B20" s="73" t="str">
        <f>'اطلاعات پايه'!C17</f>
        <v>O</v>
      </c>
      <c r="C20" s="74">
        <f>'اطلاعات پايه'!D17</f>
        <v>0</v>
      </c>
      <c r="D20" s="74">
        <f>'اطلاعات پايه'!E17</f>
        <v>25</v>
      </c>
      <c r="E20" s="74">
        <f>'اطلاعات پايه'!G17</f>
        <v>0</v>
      </c>
      <c r="F20" s="74">
        <f>'اطلاعات پايه'!I17</f>
        <v>0</v>
      </c>
      <c r="G20" s="74">
        <f>'اطلاعات پايه'!J17</f>
        <v>0</v>
      </c>
      <c r="H20" s="74">
        <f>'اطلاعات پايه'!K17</f>
        <v>0</v>
      </c>
      <c r="I20" s="74">
        <f>('اطلاعات پايه'!L17*30)*1.4/220</f>
        <v>265984.09090909088</v>
      </c>
      <c r="J20" s="75">
        <f>'اطلاعات پايه'!L17</f>
        <v>1393250</v>
      </c>
      <c r="K20" s="72">
        <f t="shared" si="0"/>
        <v>34831250</v>
      </c>
      <c r="L20" s="72">
        <f>D20*'اطلاعات پايه'!M17</f>
        <v>0</v>
      </c>
      <c r="M20" s="72">
        <f>'اطلاعات پايه'!P17*'اطلاعات پايه'!E17/'اطلاعات پايه'!L$1</f>
        <v>0</v>
      </c>
      <c r="N20" s="74">
        <f t="shared" si="1"/>
        <v>0</v>
      </c>
      <c r="O20" s="74">
        <f>ROUND('اطلاعات پايه'!P$1*D20*C20*3/'اطلاعات پايه'!L$1,0)</f>
        <v>0</v>
      </c>
      <c r="P20" s="74">
        <f>ROUND('اطلاعات پايه'!S17*'محاسبه داخلی'!D20/'اطلاعات پايه'!L$1,0)</f>
        <v>5241935</v>
      </c>
      <c r="Q20" s="74">
        <f t="shared" si="2"/>
        <v>0</v>
      </c>
      <c r="R20" s="74">
        <f>ROUND('اطلاعات پايه'!L17*0.35*'اطلاعات پايه'!J17/7.333333333,0)</f>
        <v>0</v>
      </c>
      <c r="S20" s="74">
        <f>ROUND('اطلاعات پايه'!T17*'اطلاعات پايه'!E17/'اطلاعات پايه'!L$1,0)</f>
        <v>6854839</v>
      </c>
      <c r="T20" s="75">
        <f t="shared" si="3"/>
        <v>46928024</v>
      </c>
      <c r="U20" s="72">
        <f>IF(T20-O20&lt;=7*'اطلاعات پايه'!L$1*'اطلاعات پايه'!P$1,ROUND((T20-O20)*0.07,0),ROUND((7*'اطلاعات پايه'!L$1*'اطلاعات پايه'!P$1*0.07),0))</f>
        <v>3284962</v>
      </c>
      <c r="V20" s="74">
        <f>IF((K20+L20+M20+Q20+R20-U20)&lt;'جدول مالیات'!B$2,0,IF((K20+L20+M20+Q20+R20-U20)&lt;'جدول مالیات'!B$3,((K20+L20+M20+Q20+R20-U20)-'جدول مالیات'!A$3)*'جدول مالیات'!C$3*'اطلاعات پايه'!V17,IF((K20+L20+M20+Q20+R20-U20)&lt;'جدول مالیات'!B$4,(((K20+L20+M20+Q20+R20-U20)-'جدول مالیات'!A$4)*'جدول مالیات'!C$4+'جدول مالیات'!D$3)*'اطلاعات پايه'!V17,IF((K20+L20+M20+Q20+R20-U20)&lt;'جدول مالیات'!B$5,((K20+L20+M20+Q20+R20-U20)-'جدول مالیات'!A$5)*'جدول مالیات'!C$5+('جدول مالیات'!D$4+'جدول مالیات'!D$3),IF((K20+L20+M20+Q20+R20-U20)&lt;'جدول مالیات'!B$6,((K20+L20+M20+Q20+R20-U20)-'جدول مالیات'!A$6)*0.25+('جدول مالیات'!D$5+'جدول مالیات'!D$4+'جدول مالیات'!D$3))))))</f>
        <v>0</v>
      </c>
      <c r="W20" s="76"/>
      <c r="X20" s="76"/>
      <c r="Y20" s="91">
        <f t="shared" si="4"/>
        <v>43643062</v>
      </c>
    </row>
    <row r="21" spans="1:25" ht="25.8" thickBot="1" x14ac:dyDescent="0.8">
      <c r="A21" s="72">
        <f>'اطلاعات پايه'!A18</f>
        <v>16</v>
      </c>
      <c r="B21" s="73" t="str">
        <f>'اطلاعات پايه'!C18</f>
        <v>P</v>
      </c>
      <c r="C21" s="74">
        <f>'اطلاعات پايه'!D18</f>
        <v>0</v>
      </c>
      <c r="D21" s="74">
        <f>'اطلاعات پايه'!E18</f>
        <v>25</v>
      </c>
      <c r="E21" s="74">
        <f>'اطلاعات پايه'!G18</f>
        <v>0</v>
      </c>
      <c r="F21" s="74">
        <f>'اطلاعات پايه'!I18</f>
        <v>0</v>
      </c>
      <c r="G21" s="74">
        <f>'اطلاعات پايه'!J18</f>
        <v>0</v>
      </c>
      <c r="H21" s="74">
        <f>'اطلاعات پايه'!K18</f>
        <v>0</v>
      </c>
      <c r="I21" s="74">
        <f>('اطلاعات پايه'!L18*30)*1.4/220</f>
        <v>265984.09090909088</v>
      </c>
      <c r="J21" s="75">
        <f>'اطلاعات پايه'!L18</f>
        <v>1393250</v>
      </c>
      <c r="K21" s="72">
        <f t="shared" si="0"/>
        <v>34831250</v>
      </c>
      <c r="L21" s="72">
        <f>D21*'اطلاعات پايه'!M18</f>
        <v>0</v>
      </c>
      <c r="M21" s="72">
        <f>'اطلاعات پايه'!P18*'اطلاعات پايه'!E18/'اطلاعات پايه'!L$1</f>
        <v>0</v>
      </c>
      <c r="N21" s="74">
        <f t="shared" si="1"/>
        <v>0</v>
      </c>
      <c r="O21" s="74">
        <f>ROUND('اطلاعات پايه'!P$1*D21*C21*3/'اطلاعات پايه'!L$1,0)</f>
        <v>0</v>
      </c>
      <c r="P21" s="74">
        <f>ROUND('اطلاعات پايه'!S18*'محاسبه داخلی'!D21/'اطلاعات پايه'!L$1,0)</f>
        <v>5241935</v>
      </c>
      <c r="Q21" s="74">
        <f t="shared" si="2"/>
        <v>0</v>
      </c>
      <c r="R21" s="74">
        <f>ROUND('اطلاعات پايه'!L18*0.35*'اطلاعات پايه'!J18/7.333333333,0)</f>
        <v>0</v>
      </c>
      <c r="S21" s="74">
        <f>ROUND('اطلاعات پايه'!T18*'اطلاعات پايه'!E18/'اطلاعات پايه'!L$1,0)</f>
        <v>6854839</v>
      </c>
      <c r="T21" s="75">
        <f t="shared" si="3"/>
        <v>46928024</v>
      </c>
      <c r="U21" s="72">
        <f>IF(T21-O21&lt;=7*'اطلاعات پايه'!L$1*'اطلاعات پايه'!P$1,ROUND((T21-O21)*0.07,0),ROUND((7*'اطلاعات پايه'!L$1*'اطلاعات پايه'!P$1*0.07),0))</f>
        <v>3284962</v>
      </c>
      <c r="V21" s="74">
        <f>IF((K21+L21+M21+Q21+R21-U21)&lt;'جدول مالیات'!B$2,0,IF((K21+L21+M21+Q21+R21-U21)&lt;'جدول مالیات'!B$3,((K21+L21+M21+Q21+R21-U21)-'جدول مالیات'!A$3)*'جدول مالیات'!C$3*'اطلاعات پايه'!V18,IF((K21+L21+M21+Q21+R21-U21)&lt;'جدول مالیات'!B$4,(((K21+L21+M21+Q21+R21-U21)-'جدول مالیات'!A$4)*'جدول مالیات'!C$4+'جدول مالیات'!D$3)*'اطلاعات پايه'!V18,IF((K21+L21+M21+Q21+R21-U21)&lt;'جدول مالیات'!B$5,((K21+L21+M21+Q21+R21-U21)-'جدول مالیات'!A$5)*'جدول مالیات'!C$5+('جدول مالیات'!D$4+'جدول مالیات'!D$3),IF((K21+L21+M21+Q21+R21-U21)&lt;'جدول مالیات'!B$6,((K21+L21+M21+Q21+R21-U21)-'جدول مالیات'!A$6)*0.25+('جدول مالیات'!D$5+'جدول مالیات'!D$4+'جدول مالیات'!D$3))))))</f>
        <v>0</v>
      </c>
      <c r="W21" s="76"/>
      <c r="X21" s="76"/>
      <c r="Y21" s="91">
        <f t="shared" si="4"/>
        <v>43643062</v>
      </c>
    </row>
    <row r="22" spans="1:25" ht="27.6" thickBot="1" x14ac:dyDescent="0.9">
      <c r="A22" s="105" t="s">
        <v>23</v>
      </c>
      <c r="B22" s="106"/>
      <c r="C22" s="106"/>
      <c r="D22" s="106"/>
      <c r="E22" s="106"/>
      <c r="F22" s="106"/>
      <c r="G22" s="106"/>
      <c r="H22" s="106"/>
      <c r="I22" s="106"/>
      <c r="J22" s="107"/>
      <c r="K22" s="77">
        <f>SUM(K6:K21)</f>
        <v>902237808</v>
      </c>
      <c r="L22" s="77">
        <f t="shared" ref="L22:Y22" si="5">SUM(L6:L21)</f>
        <v>31000000</v>
      </c>
      <c r="M22" s="77">
        <f t="shared" si="5"/>
        <v>0</v>
      </c>
      <c r="N22" s="77">
        <f t="shared" si="5"/>
        <v>14400000</v>
      </c>
      <c r="O22" s="77">
        <f t="shared" si="5"/>
        <v>37617750</v>
      </c>
      <c r="P22" s="77">
        <f t="shared" si="5"/>
        <v>101483870</v>
      </c>
      <c r="Q22" s="77">
        <f t="shared" si="5"/>
        <v>47767096</v>
      </c>
      <c r="R22" s="77">
        <f t="shared" si="5"/>
        <v>1594741</v>
      </c>
      <c r="S22" s="77">
        <f t="shared" si="5"/>
        <v>132709678</v>
      </c>
      <c r="T22" s="77">
        <f t="shared" si="5"/>
        <v>1268810943</v>
      </c>
      <c r="U22" s="77">
        <f t="shared" si="5"/>
        <v>85175527</v>
      </c>
      <c r="V22" s="77">
        <f t="shared" si="5"/>
        <v>24254917.149999999</v>
      </c>
      <c r="W22" s="77">
        <f t="shared" si="5"/>
        <v>0</v>
      </c>
      <c r="X22" s="77">
        <f t="shared" si="5"/>
        <v>0</v>
      </c>
      <c r="Y22" s="77">
        <f t="shared" si="5"/>
        <v>1159380498.8499999</v>
      </c>
    </row>
    <row r="23" spans="1:25" ht="27" x14ac:dyDescent="0.85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9" t="s">
        <v>49</v>
      </c>
      <c r="U23" s="80">
        <f>U22*0.2/0.07</f>
        <v>243358648.57142857</v>
      </c>
      <c r="V23" s="78"/>
      <c r="W23" s="78"/>
      <c r="X23" s="78"/>
    </row>
    <row r="24" spans="1:25" ht="27.6" thickBot="1" x14ac:dyDescent="0.9">
      <c r="A24" s="81"/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2" t="s">
        <v>68</v>
      </c>
      <c r="U24" s="83">
        <f>ROUND(((T22-T6)-(O22-O6))*0.03,0)</f>
        <v>28533069</v>
      </c>
      <c r="V24" s="81"/>
      <c r="W24" s="81"/>
      <c r="X24" s="81"/>
      <c r="Y24" s="81"/>
    </row>
    <row r="25" spans="1:25" ht="27.6" thickBot="1" x14ac:dyDescent="0.9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>
        <f>T22+U24+U23</f>
        <v>1540702660.5714285</v>
      </c>
      <c r="S25" s="81"/>
      <c r="T25" s="82" t="s">
        <v>24</v>
      </c>
      <c r="U25" s="84">
        <f>SUM(U22:U24)</f>
        <v>357067244.57142854</v>
      </c>
      <c r="V25" s="81"/>
      <c r="W25" s="81"/>
      <c r="X25" s="81"/>
      <c r="Y25" s="81"/>
    </row>
    <row r="26" spans="1:25" ht="34.200000000000003" x14ac:dyDescent="1">
      <c r="A26" s="85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6"/>
      <c r="Q26" s="85"/>
      <c r="R26" s="85"/>
      <c r="S26" s="85"/>
      <c r="T26" s="87"/>
      <c r="U26" s="87"/>
      <c r="V26" s="85"/>
      <c r="W26" s="85"/>
      <c r="X26" s="85"/>
      <c r="Y26" s="81"/>
    </row>
    <row r="27" spans="1:25" ht="17.399999999999999" x14ac:dyDescent="0.55000000000000004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7"/>
      <c r="U27" s="87"/>
      <c r="V27" s="85"/>
      <c r="W27" s="85"/>
      <c r="X27" s="85"/>
      <c r="Y27" s="81"/>
    </row>
    <row r="28" spans="1:25" s="89" customFormat="1" ht="21.6" x14ac:dyDescent="0.65">
      <c r="A28" s="88"/>
      <c r="B28" s="88"/>
      <c r="C28" s="104" t="s">
        <v>41</v>
      </c>
      <c r="D28" s="104"/>
      <c r="E28" s="104"/>
      <c r="F28" s="104"/>
      <c r="G28" s="104"/>
      <c r="H28" s="104"/>
      <c r="I28" s="88"/>
      <c r="J28" s="88"/>
      <c r="K28" s="88"/>
      <c r="L28" s="88"/>
      <c r="M28" s="88"/>
      <c r="N28" s="88"/>
      <c r="O28" s="88"/>
      <c r="P28" s="104"/>
      <c r="Q28" s="104"/>
      <c r="R28" s="88"/>
      <c r="S28" s="88"/>
      <c r="T28" s="88" t="s">
        <v>50</v>
      </c>
      <c r="U28" s="88"/>
      <c r="V28" s="88"/>
      <c r="W28" s="88"/>
      <c r="X28" s="88"/>
      <c r="Y28" s="81"/>
    </row>
    <row r="29" spans="1:25" s="89" customFormat="1" ht="21.6" x14ac:dyDescent="0.65">
      <c r="C29" s="104"/>
      <c r="D29" s="104"/>
      <c r="E29" s="104"/>
      <c r="F29" s="104"/>
      <c r="G29" s="104"/>
      <c r="H29" s="104"/>
      <c r="P29" s="104"/>
      <c r="Q29" s="104"/>
      <c r="R29" s="88"/>
      <c r="T29" s="88"/>
      <c r="U29" s="88"/>
      <c r="V29" s="88"/>
      <c r="W29" s="88"/>
      <c r="X29" s="88"/>
      <c r="Y29" s="81"/>
    </row>
    <row r="30" spans="1:25" ht="17.399999999999999" x14ac:dyDescent="0.55000000000000004">
      <c r="Y30" s="81"/>
    </row>
    <row r="31" spans="1:25" ht="17.399999999999999" x14ac:dyDescent="0.55000000000000004">
      <c r="Y31" s="81"/>
    </row>
    <row r="32" spans="1:25" ht="17.399999999999999" x14ac:dyDescent="0.55000000000000004">
      <c r="Y32" s="81"/>
    </row>
  </sheetData>
  <sheetProtection sheet="1" objects="1" scenarios="1"/>
  <mergeCells count="11">
    <mergeCell ref="C29:H29"/>
    <mergeCell ref="P29:Q29"/>
    <mergeCell ref="A22:J22"/>
    <mergeCell ref="C28:H28"/>
    <mergeCell ref="P28:Q28"/>
    <mergeCell ref="A2:Y2"/>
    <mergeCell ref="A3:Y3"/>
    <mergeCell ref="A4:J4"/>
    <mergeCell ref="K4:T4"/>
    <mergeCell ref="U4:X4"/>
    <mergeCell ref="Y4:Y5"/>
  </mergeCells>
  <printOptions horizontalCentered="1"/>
  <pageMargins left="0" right="0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rightToLeft="1" zoomScale="70" zoomScaleNormal="70" workbookViewId="0">
      <selection activeCell="I23" sqref="I23"/>
    </sheetView>
  </sheetViews>
  <sheetFormatPr defaultColWidth="9.109375" defaultRowHeight="24" x14ac:dyDescent="0.85"/>
  <cols>
    <col min="1" max="1" width="7.6640625" style="16" bestFit="1" customWidth="1"/>
    <col min="2" max="2" width="21.5546875" style="16" bestFit="1" customWidth="1"/>
    <col min="3" max="3" width="10.5546875" style="16" bestFit="1" customWidth="1"/>
    <col min="4" max="4" width="17" style="17" customWidth="1"/>
    <col min="5" max="5" width="20.5546875" style="17" customWidth="1"/>
    <col min="6" max="6" width="18.6640625" style="17" customWidth="1"/>
    <col min="7" max="7" width="18.88671875" style="17" customWidth="1"/>
    <col min="8" max="8" width="18.33203125" style="17" customWidth="1"/>
    <col min="9" max="9" width="19" style="17" customWidth="1"/>
    <col min="10" max="16384" width="9.109375" style="7"/>
  </cols>
  <sheetData>
    <row r="1" spans="1:9" ht="27" x14ac:dyDescent="0.85">
      <c r="A1" s="111"/>
      <c r="B1" s="111"/>
      <c r="C1" s="111"/>
      <c r="D1" s="111"/>
      <c r="E1" s="111"/>
      <c r="F1" s="111"/>
      <c r="G1" s="111"/>
      <c r="H1" s="111"/>
      <c r="I1" s="111"/>
    </row>
    <row r="2" spans="1:9" ht="27" x14ac:dyDescent="0.85">
      <c r="A2" s="110" t="str">
        <f>'اطلاعات پايه'!I1</f>
        <v>اردیبهشت 1401</v>
      </c>
      <c r="B2" s="110"/>
      <c r="C2" s="110"/>
      <c r="D2" s="110"/>
      <c r="E2" s="110"/>
      <c r="F2" s="110"/>
      <c r="G2" s="110"/>
      <c r="H2" s="110"/>
      <c r="I2" s="110"/>
    </row>
    <row r="3" spans="1:9" s="9" customFormat="1" ht="48" customHeight="1" x14ac:dyDescent="0.25">
      <c r="A3" s="10" t="s">
        <v>71</v>
      </c>
      <c r="B3" s="10" t="str">
        <f>'اطلاعات پايه'!C2</f>
        <v>نام و نام خانوادگي</v>
      </c>
      <c r="C3" s="10" t="str">
        <f>'اطلاعات پايه'!F2</f>
        <v>کارکرد بیمه</v>
      </c>
      <c r="D3" s="11" t="str">
        <f>'اطلاعات پايه'!L2</f>
        <v>حقوق روزانه</v>
      </c>
      <c r="E3" s="11" t="s">
        <v>69</v>
      </c>
      <c r="F3" s="11" t="s">
        <v>32</v>
      </c>
      <c r="G3" s="12" t="s">
        <v>33</v>
      </c>
      <c r="H3" s="11" t="s">
        <v>34</v>
      </c>
      <c r="I3" s="11" t="s">
        <v>35</v>
      </c>
    </row>
    <row r="4" spans="1:9" x14ac:dyDescent="0.85">
      <c r="A4" s="13">
        <f>'اطلاعات پايه'!A3</f>
        <v>1</v>
      </c>
      <c r="B4" s="13" t="str">
        <f>'اطلاعات پايه'!C3</f>
        <v>A</v>
      </c>
      <c r="C4" s="13">
        <f>'اطلاعات پايه'!F3</f>
        <v>31</v>
      </c>
      <c r="D4" s="14">
        <f>'اطلاعات پايه'!L3</f>
        <v>7200000</v>
      </c>
      <c r="E4" s="14">
        <f>C4*D4</f>
        <v>223200000</v>
      </c>
      <c r="F4" s="14">
        <f>'محاسبه داخلی'!L6+'محاسبه داخلی'!M6+'محاسبه داخلی'!P6+'محاسبه داخلی'!Q6+'محاسبه داخلی'!R6+'محاسبه داخلی'!S6</f>
        <v>42490909</v>
      </c>
      <c r="G4" s="14">
        <f t="shared" ref="G4:G10" si="0">E4+F4</f>
        <v>265690909</v>
      </c>
      <c r="H4" s="14">
        <f>'محاسبه داخلی'!T6</f>
        <v>288450409</v>
      </c>
      <c r="I4" s="14">
        <f>ROUND(IF(C4=0,0,IF(G4/C4&lt;=7*'اطلاعات پايه'!P$1,G4*0.07,7*'اطلاعات پايه'!P$1*C4*0.07)),0)</f>
        <v>18598364</v>
      </c>
    </row>
    <row r="5" spans="1:9" x14ac:dyDescent="0.85">
      <c r="A5" s="13">
        <f>'اطلاعات پايه'!A4</f>
        <v>2</v>
      </c>
      <c r="B5" s="13" t="str">
        <f>'اطلاعات پايه'!C4</f>
        <v>B</v>
      </c>
      <c r="C5" s="13">
        <f>'اطلاعات پايه'!F4</f>
        <v>31</v>
      </c>
      <c r="D5" s="14">
        <f>'اطلاعات پايه'!L4</f>
        <v>1462874</v>
      </c>
      <c r="E5" s="14">
        <f t="shared" ref="E5:E19" si="1">C5*D5</f>
        <v>45349094</v>
      </c>
      <c r="F5" s="14">
        <f>'محاسبه داخلی'!L7+'محاسبه داخلی'!M7+'محاسبه داخلی'!P7+'محاسبه داخلی'!Q7+'محاسبه داخلی'!R7+'محاسبه داخلی'!S7</f>
        <v>50328777</v>
      </c>
      <c r="G5" s="14">
        <f t="shared" si="0"/>
        <v>95677871</v>
      </c>
      <c r="H5" s="14">
        <f>'محاسبه داخلی'!T7</f>
        <v>104037371</v>
      </c>
      <c r="I5" s="14">
        <f>ROUND(IF(C5=0,0,IF(G5/C5&lt;=7*'اطلاعات پايه'!P$1,G5*0.07,7*'اطلاعات پايه'!P$1*C5*0.07)),0)</f>
        <v>6697451</v>
      </c>
    </row>
    <row r="6" spans="1:9" x14ac:dyDescent="0.85">
      <c r="A6" s="13">
        <f>'اطلاعات پايه'!A5</f>
        <v>3</v>
      </c>
      <c r="B6" s="13" t="str">
        <f>'اطلاعات پايه'!C5</f>
        <v>C</v>
      </c>
      <c r="C6" s="13">
        <f>'اطلاعات پايه'!F5</f>
        <v>31</v>
      </c>
      <c r="D6" s="14">
        <f>'اطلاعات پايه'!L5</f>
        <v>1670681</v>
      </c>
      <c r="E6" s="14">
        <f t="shared" si="1"/>
        <v>51791111</v>
      </c>
      <c r="F6" s="14">
        <f>'محاسبه داخلی'!L8+'محاسبه داخلی'!M8+'محاسبه داخلی'!P8+'محاسبه داخلی'!Q8+'محاسبه داخلی'!R8+'محاسبه داخلی'!S8</f>
        <v>15000000</v>
      </c>
      <c r="G6" s="14">
        <f t="shared" si="0"/>
        <v>66791111</v>
      </c>
      <c r="H6" s="14">
        <f>'محاسبه داخلی'!T8</f>
        <v>66791111</v>
      </c>
      <c r="I6" s="14">
        <f>ROUND(IF(C6=0,0,IF(G6/C6&lt;=7*'اطلاعات پايه'!P$1,G6*0.07,7*'اطلاعات پايه'!P$1*C6*0.07)),0)</f>
        <v>4675378</v>
      </c>
    </row>
    <row r="7" spans="1:9" x14ac:dyDescent="0.85">
      <c r="A7" s="13">
        <f>'اطلاعات پايه'!A6</f>
        <v>4</v>
      </c>
      <c r="B7" s="13" t="str">
        <f>'اطلاعات پايه'!C6</f>
        <v>D</v>
      </c>
      <c r="C7" s="13">
        <f>'اطلاعات پايه'!F6</f>
        <v>31</v>
      </c>
      <c r="D7" s="14">
        <f>'اطلاعات پايه'!L6</f>
        <v>1670681</v>
      </c>
      <c r="E7" s="14">
        <f t="shared" si="1"/>
        <v>51791111</v>
      </c>
      <c r="F7" s="14">
        <f>'محاسبه داخلی'!L9+'محاسبه داخلی'!M9+'محاسبه داخلی'!P9+'محاسبه داخلی'!Q9+'محاسبه داخلی'!R9+'محاسبه داخلی'!S9</f>
        <v>32542151</v>
      </c>
      <c r="G7" s="14">
        <f t="shared" si="0"/>
        <v>84333262</v>
      </c>
      <c r="H7" s="14">
        <f>'محاسبه داخلی'!T9</f>
        <v>88513012</v>
      </c>
      <c r="I7" s="14">
        <f>ROUND(IF(C7=0,0,IF(G7/C7&lt;=7*'اطلاعات پايه'!P$1,G7*0.07,7*'اطلاعات پايه'!P$1*C7*0.07)),0)</f>
        <v>5903328</v>
      </c>
    </row>
    <row r="8" spans="1:9" x14ac:dyDescent="0.85">
      <c r="A8" s="13">
        <f>'اطلاعات پايه'!A7</f>
        <v>5</v>
      </c>
      <c r="B8" s="13" t="str">
        <f>'اطلاعات پايه'!C7</f>
        <v>E</v>
      </c>
      <c r="C8" s="13">
        <f>'اطلاعات پايه'!F7</f>
        <v>31</v>
      </c>
      <c r="D8" s="14">
        <f>'اطلاعات پايه'!L7</f>
        <v>1616716</v>
      </c>
      <c r="E8" s="14">
        <f t="shared" si="1"/>
        <v>50118196</v>
      </c>
      <c r="F8" s="14">
        <f>'محاسبه داخلی'!L10+'محاسبه داخلی'!M10+'محاسبه داخلی'!P10+'محاسبه داخلی'!Q10+'محاسبه داخلی'!R10+'محاسبه داخلی'!S10</f>
        <v>15000000</v>
      </c>
      <c r="G8" s="14">
        <f t="shared" si="0"/>
        <v>65118196</v>
      </c>
      <c r="H8" s="14">
        <f>'محاسبه داخلی'!T10</f>
        <v>65118196</v>
      </c>
      <c r="I8" s="14">
        <f>ROUND(IF(C8=0,0,IF(G8/C8&lt;=7*'اطلاعات پايه'!P$1,G8*0.07,7*'اطلاعات پايه'!P$1*C8*0.07)),0)</f>
        <v>4558274</v>
      </c>
    </row>
    <row r="9" spans="1:9" x14ac:dyDescent="0.85">
      <c r="A9" s="13">
        <f>'اطلاعات پايه'!A8</f>
        <v>6</v>
      </c>
      <c r="B9" s="13" t="str">
        <f>'اطلاعات پايه'!C8</f>
        <v>F</v>
      </c>
      <c r="C9" s="13">
        <f>'اطلاعات پايه'!F8</f>
        <v>31</v>
      </c>
      <c r="D9" s="14">
        <f>'اطلاعات پايه'!L8</f>
        <v>1616716</v>
      </c>
      <c r="E9" s="14">
        <f t="shared" si="1"/>
        <v>50118196</v>
      </c>
      <c r="F9" s="14">
        <f>'محاسبه داخلی'!L11+'محاسبه داخلی'!M11+'محاسبه داخلی'!P11+'محاسبه داخلی'!Q11+'محاسبه داخلی'!R11+'محاسبه داخلی'!S11</f>
        <v>15000000</v>
      </c>
      <c r="G9" s="14">
        <f t="shared" si="0"/>
        <v>65118196</v>
      </c>
      <c r="H9" s="14">
        <f>'محاسبه داخلی'!T11</f>
        <v>65118196</v>
      </c>
      <c r="I9" s="14">
        <f>ROUND(IF(C9=0,0,IF(G9/C9&lt;=7*'اطلاعات پايه'!P$1,G9*0.07,7*'اطلاعات پايه'!P$1*C9*0.07)),0)</f>
        <v>4558274</v>
      </c>
    </row>
    <row r="10" spans="1:9" x14ac:dyDescent="0.85">
      <c r="A10" s="13">
        <f>'اطلاعات پايه'!A9</f>
        <v>7</v>
      </c>
      <c r="B10" s="13" t="str">
        <f>'اطلاعات پايه'!C9</f>
        <v>G</v>
      </c>
      <c r="C10" s="13">
        <f>'اطلاعات پايه'!F9</f>
        <v>31</v>
      </c>
      <c r="D10" s="14">
        <f>'اطلاعات پايه'!L9</f>
        <v>1571121</v>
      </c>
      <c r="E10" s="14">
        <f t="shared" si="1"/>
        <v>48704751</v>
      </c>
      <c r="F10" s="14">
        <f>'محاسبه داخلی'!L12+'محاسبه داخلی'!M12+'محاسبه داخلی'!P12+'محاسبه داخلی'!Q12+'محاسبه داخلی'!R12+'محاسبه داخلی'!S12</f>
        <v>15000000</v>
      </c>
      <c r="G10" s="14">
        <f t="shared" si="0"/>
        <v>63704751</v>
      </c>
      <c r="H10" s="14">
        <f>'محاسبه داخلی'!T12</f>
        <v>63704751</v>
      </c>
      <c r="I10" s="14">
        <f>ROUND(IF(C10=0,0,IF(G10/C10&lt;=7*'اطلاعات پايه'!P$1,G10*0.07,7*'اطلاعات پايه'!P$1*C10*0.07)),0)</f>
        <v>4459333</v>
      </c>
    </row>
    <row r="11" spans="1:9" x14ac:dyDescent="0.85">
      <c r="A11" s="13">
        <f>'اطلاعات پايه'!A10</f>
        <v>8</v>
      </c>
      <c r="B11" s="13" t="str">
        <f>'اطلاعات پايه'!C10</f>
        <v>H</v>
      </c>
      <c r="C11" s="13">
        <f>'اطلاعات پايه'!F10</f>
        <v>31</v>
      </c>
      <c r="D11" s="14">
        <f>'اطلاعات پايه'!L10</f>
        <v>1537311</v>
      </c>
      <c r="E11" s="14">
        <f t="shared" si="1"/>
        <v>47656641</v>
      </c>
      <c r="F11" s="14">
        <f>'محاسبه داخلی'!L13+'محاسبه داخلی'!M13+'محاسبه داخلی'!P13+'محاسبه داخلی'!Q13+'محاسبه داخلی'!R13+'محاسبه داخلی'!S13</f>
        <v>15000000</v>
      </c>
      <c r="G11" s="14">
        <f t="shared" ref="G11:G18" si="2">E11+F11</f>
        <v>62656641</v>
      </c>
      <c r="H11" s="14">
        <f>'محاسبه داخلی'!T13</f>
        <v>71016141</v>
      </c>
      <c r="I11" s="14">
        <f>ROUND(IF(C11=0,0,IF(G11/C11&lt;=7*'اطلاعات پايه'!P$1,G11*0.07,7*'اطلاعات پايه'!P$1*C11*0.07)),0)</f>
        <v>4385965</v>
      </c>
    </row>
    <row r="12" spans="1:9" x14ac:dyDescent="0.85">
      <c r="A12" s="13">
        <f>'اطلاعات پايه'!A11</f>
        <v>9</v>
      </c>
      <c r="B12" s="13" t="str">
        <f>'اطلاعات پايه'!C11</f>
        <v>I</v>
      </c>
      <c r="C12" s="13">
        <f>'اطلاعات پايه'!F11</f>
        <v>31</v>
      </c>
      <c r="D12" s="14">
        <f>'اطلاعات پايه'!L11</f>
        <v>1439917</v>
      </c>
      <c r="E12" s="14">
        <f t="shared" si="1"/>
        <v>44637427</v>
      </c>
      <c r="F12" s="14">
        <f>'محاسبه داخلی'!L14+'محاسبه داخلی'!M14+'محاسبه داخلی'!P14+'محاسبه داخلی'!Q14+'محاسبه داخلی'!R14+'محاسبه داخلی'!S14</f>
        <v>15000000</v>
      </c>
      <c r="G12" s="14">
        <f t="shared" si="2"/>
        <v>59637427</v>
      </c>
      <c r="H12" s="14">
        <f>'محاسبه داخلی'!T14</f>
        <v>59637427</v>
      </c>
      <c r="I12" s="14">
        <f>ROUND(IF(C12=0,0,IF(G12/C12&lt;=7*'اطلاعات پايه'!P$1,G12*0.07,7*'اطلاعات پايه'!P$1*C12*0.07)),0)</f>
        <v>4174620</v>
      </c>
    </row>
    <row r="13" spans="1:9" x14ac:dyDescent="0.85">
      <c r="A13" s="13">
        <f>'اطلاعات پايه'!A12</f>
        <v>10</v>
      </c>
      <c r="B13" s="13" t="str">
        <f>'اطلاعات پايه'!C12</f>
        <v>J</v>
      </c>
      <c r="C13" s="13">
        <f>'اطلاعات پايه'!F12</f>
        <v>31</v>
      </c>
      <c r="D13" s="14">
        <f>'اطلاعات پايه'!L12</f>
        <v>1434084</v>
      </c>
      <c r="E13" s="14">
        <f t="shared" si="1"/>
        <v>44456604</v>
      </c>
      <c r="F13" s="14">
        <f>'محاسبه داخلی'!L15+'محاسبه داخلی'!M15+'محاسبه داخلی'!P15+'محاسبه داخلی'!Q15+'محاسبه داخلی'!R15+'محاسبه داخلی'!S15</f>
        <v>15000000</v>
      </c>
      <c r="G13" s="14">
        <f>E13+F13</f>
        <v>59456604</v>
      </c>
      <c r="H13" s="14">
        <f>'محاسبه داخلی'!T15</f>
        <v>59456604</v>
      </c>
      <c r="I13" s="14">
        <f>ROUND(IF(C13=0,0,IF(G13/C13&lt;=7*'اطلاعات پايه'!P$1,G13*0.07,7*'اطلاعات پايه'!P$1*C13*0.07)),0)</f>
        <v>4161962</v>
      </c>
    </row>
    <row r="14" spans="1:9" x14ac:dyDescent="0.85">
      <c r="A14" s="13">
        <f>'اطلاعات پايه'!A13</f>
        <v>11</v>
      </c>
      <c r="B14" s="13" t="str">
        <f>'اطلاعات پايه'!C13</f>
        <v>K</v>
      </c>
      <c r="C14" s="13">
        <f>'اطلاعات پايه'!F13</f>
        <v>31</v>
      </c>
      <c r="D14" s="14">
        <f>'اطلاعات پايه'!L13</f>
        <v>1428250</v>
      </c>
      <c r="E14" s="14">
        <f t="shared" si="1"/>
        <v>44275750</v>
      </c>
      <c r="F14" s="14">
        <f>'محاسبه داخلی'!L16+'محاسبه داخلی'!M16+'محاسبه داخلی'!P16+'محاسبه داخلی'!Q16+'محاسبه داخلی'!R16+'محاسبه داخلی'!S16</f>
        <v>15000000</v>
      </c>
      <c r="G14" s="14">
        <f t="shared" si="2"/>
        <v>59275750</v>
      </c>
      <c r="H14" s="14">
        <f>'محاسبه داخلی'!T16</f>
        <v>63455500</v>
      </c>
      <c r="I14" s="14">
        <f>ROUND(IF(C14=0,0,IF(G14/C14&lt;=7*'اطلاعات پايه'!P$1,G14*0.07,7*'اطلاعات پايه'!P$1*C14*0.07)),0)</f>
        <v>4149303</v>
      </c>
    </row>
    <row r="15" spans="1:9" x14ac:dyDescent="0.85">
      <c r="A15" s="13">
        <f>'اطلاعات پايه'!A14</f>
        <v>12</v>
      </c>
      <c r="B15" s="13" t="str">
        <f>'اطلاعات پايه'!C14</f>
        <v>L</v>
      </c>
      <c r="C15" s="13">
        <f>'اطلاعات پايه'!F14</f>
        <v>31</v>
      </c>
      <c r="D15" s="14">
        <f>'اطلاعات پايه'!L14</f>
        <v>1422417</v>
      </c>
      <c r="E15" s="14">
        <f t="shared" si="1"/>
        <v>44094927</v>
      </c>
      <c r="F15" s="14">
        <f>'محاسبه داخلی'!L17+'محاسبه داخلی'!M17+'محاسبه داخلی'!P17+'محاسبه داخلی'!Q17+'محاسبه داخلی'!R17+'محاسبه داخلی'!S17</f>
        <v>15000000</v>
      </c>
      <c r="G15" s="14">
        <f>E15+F15</f>
        <v>59094927</v>
      </c>
      <c r="H15" s="14">
        <f>'محاسبه داخلی'!T17</f>
        <v>59094927</v>
      </c>
      <c r="I15" s="14">
        <f>ROUND(IF(C15=0,0,IF(G15/C15&lt;=7*'اطلاعات پايه'!P$1,G15*0.07,7*'اطلاعات پايه'!P$1*C15*0.07)),0)</f>
        <v>4136645</v>
      </c>
    </row>
    <row r="16" spans="1:9" x14ac:dyDescent="0.85">
      <c r="A16" s="13">
        <f>'اطلاعات پايه'!A15</f>
        <v>13</v>
      </c>
      <c r="B16" s="13" t="str">
        <f>'اطلاعات پايه'!C15</f>
        <v>M</v>
      </c>
      <c r="C16" s="13">
        <f>'اطلاعات پايه'!F15</f>
        <v>31</v>
      </c>
      <c r="D16" s="14">
        <f>'اطلاعات پايه'!L15</f>
        <v>1393250</v>
      </c>
      <c r="E16" s="14">
        <f t="shared" si="1"/>
        <v>43190750</v>
      </c>
      <c r="F16" s="14">
        <f>'محاسبه داخلی'!L18+'محاسبه داخلی'!M18+'محاسبه داخلی'!P18+'محاسبه داخلی'!Q18+'محاسبه داخلی'!R18+'محاسبه داخلی'!S18</f>
        <v>15000000</v>
      </c>
      <c r="G16" s="14">
        <f t="shared" si="2"/>
        <v>58190750</v>
      </c>
      <c r="H16" s="14">
        <f>'محاسبه داخلی'!T18</f>
        <v>58190750</v>
      </c>
      <c r="I16" s="14">
        <f>ROUND(IF(C16=0,0,IF(G16/C16&lt;=7*'اطلاعات پايه'!P$1,G16*0.07,7*'اطلاعات پايه'!P$1*C16*0.07)),0)</f>
        <v>4073353</v>
      </c>
    </row>
    <row r="17" spans="1:9" x14ac:dyDescent="0.85">
      <c r="A17" s="13">
        <f>'اطلاعات پايه'!A16</f>
        <v>14</v>
      </c>
      <c r="B17" s="13" t="str">
        <f>'اطلاعات پايه'!C16</f>
        <v>N</v>
      </c>
      <c r="C17" s="13">
        <f>'اطلاعات پايه'!F16</f>
        <v>31</v>
      </c>
      <c r="D17" s="14">
        <f>'اطلاعات پايه'!L16</f>
        <v>1393250</v>
      </c>
      <c r="E17" s="14">
        <f t="shared" si="1"/>
        <v>43190750</v>
      </c>
      <c r="F17" s="14">
        <f>'محاسبه داخلی'!L19+'محاسبه داخلی'!M19+'محاسبه داخلی'!P19+'محاسبه داخلی'!Q19+'محاسبه داخلی'!R19+'محاسبه داخلی'!S19</f>
        <v>15000000</v>
      </c>
      <c r="G17" s="14">
        <f>E17+F17</f>
        <v>58190750</v>
      </c>
      <c r="H17" s="14">
        <f>'محاسبه داخلی'!T19</f>
        <v>62370500</v>
      </c>
      <c r="I17" s="14">
        <f>ROUND(IF(C17=0,0,IF(G17/C17&lt;=7*'اطلاعات پايه'!P$1,G17*0.07,7*'اطلاعات پايه'!P$1*C17*0.07)),0)</f>
        <v>4073353</v>
      </c>
    </row>
    <row r="18" spans="1:9" x14ac:dyDescent="0.85">
      <c r="A18" s="13">
        <f>'اطلاعات پايه'!A17</f>
        <v>15</v>
      </c>
      <c r="B18" s="13" t="str">
        <f>'اطلاعات پايه'!C17</f>
        <v>O</v>
      </c>
      <c r="C18" s="13">
        <f>'اطلاعات پايه'!F17</f>
        <v>25</v>
      </c>
      <c r="D18" s="14">
        <f>'اطلاعات پايه'!L17</f>
        <v>1393250</v>
      </c>
      <c r="E18" s="14">
        <f t="shared" si="1"/>
        <v>34831250</v>
      </c>
      <c r="F18" s="14">
        <f>'محاسبه داخلی'!L20+'محاسبه داخلی'!M20+'محاسبه داخلی'!P20+'محاسبه داخلی'!Q20+'محاسبه داخلی'!R20+'محاسبه داخلی'!S20</f>
        <v>12096774</v>
      </c>
      <c r="G18" s="14">
        <f t="shared" si="2"/>
        <v>46928024</v>
      </c>
      <c r="H18" s="14">
        <f>'محاسبه داخلی'!T20</f>
        <v>46928024</v>
      </c>
      <c r="I18" s="14">
        <f>ROUND(IF(C18=0,0,IF(G18/C18&lt;=7*'اطلاعات پايه'!P$1,G18*0.07,7*'اطلاعات پايه'!P$1*C18*0.07)),0)</f>
        <v>3284962</v>
      </c>
    </row>
    <row r="19" spans="1:9" x14ac:dyDescent="0.85">
      <c r="A19" s="13">
        <f>'اطلاعات پايه'!A18</f>
        <v>16</v>
      </c>
      <c r="B19" s="13" t="str">
        <f>'اطلاعات پايه'!C18</f>
        <v>P</v>
      </c>
      <c r="C19" s="13">
        <f>'اطلاعات پايه'!F18</f>
        <v>25</v>
      </c>
      <c r="D19" s="14">
        <f>'اطلاعات پايه'!L18</f>
        <v>1393250</v>
      </c>
      <c r="E19" s="14">
        <f t="shared" si="1"/>
        <v>34831250</v>
      </c>
      <c r="F19" s="14">
        <f>'محاسبه داخلی'!L21+'محاسبه داخلی'!M21+'محاسبه داخلی'!P21+'محاسبه داخلی'!Q21+'محاسبه داخلی'!R21+'محاسبه داخلی'!S21</f>
        <v>12096774</v>
      </c>
      <c r="G19" s="14">
        <f>E19+F19</f>
        <v>46928024</v>
      </c>
      <c r="H19" s="14">
        <f>'محاسبه داخلی'!T21</f>
        <v>46928024</v>
      </c>
      <c r="I19" s="14">
        <f>ROUND(IF(C19=0,0,IF(G19/C19&lt;=7*'اطلاعات پايه'!P$1,G19*0.07,7*'اطلاعات پايه'!P$1*C19*0.07)),0)</f>
        <v>3284962</v>
      </c>
    </row>
    <row r="20" spans="1:9" ht="24.6" x14ac:dyDescent="0.85">
      <c r="A20" s="108" t="s">
        <v>23</v>
      </c>
      <c r="B20" s="109"/>
      <c r="C20" s="18">
        <f>SUM(C4:C19)</f>
        <v>484</v>
      </c>
      <c r="D20" s="18">
        <f t="shared" ref="D20:I20" si="3">SUM(D4:D19)</f>
        <v>29643768</v>
      </c>
      <c r="E20" s="18">
        <f t="shared" si="3"/>
        <v>902237808</v>
      </c>
      <c r="F20" s="18">
        <f t="shared" si="3"/>
        <v>314555385</v>
      </c>
      <c r="G20" s="18">
        <f t="shared" si="3"/>
        <v>1216793193</v>
      </c>
      <c r="H20" s="18">
        <f t="shared" si="3"/>
        <v>1268810943</v>
      </c>
      <c r="I20" s="18">
        <f t="shared" si="3"/>
        <v>85175527</v>
      </c>
    </row>
    <row r="21" spans="1:9" ht="24.6" x14ac:dyDescent="0.85">
      <c r="H21" s="15" t="s">
        <v>36</v>
      </c>
      <c r="I21" s="15">
        <f>'محاسبه داخلی'!U23</f>
        <v>243358648.57142857</v>
      </c>
    </row>
    <row r="22" spans="1:9" ht="24.6" x14ac:dyDescent="0.85">
      <c r="H22" s="15" t="s">
        <v>37</v>
      </c>
      <c r="I22" s="15">
        <f>'محاسبه داخلی'!U24</f>
        <v>28533069</v>
      </c>
    </row>
    <row r="23" spans="1:9" ht="24.6" x14ac:dyDescent="0.85">
      <c r="F23" s="17" t="s">
        <v>82</v>
      </c>
      <c r="G23" s="46">
        <f>(H20-G20)/(3*'اطلاعات پايه'!P1)</f>
        <v>12.445182128117711</v>
      </c>
      <c r="H23" s="15" t="s">
        <v>38</v>
      </c>
      <c r="I23" s="15">
        <f>SUM(I20:I22)</f>
        <v>357067244.57142854</v>
      </c>
    </row>
    <row r="25" spans="1:9" x14ac:dyDescent="0.85">
      <c r="G25" s="26">
        <f>I23-'محاسبه داخلی'!U25</f>
        <v>0</v>
      </c>
    </row>
  </sheetData>
  <sheetProtection sheet="1" objects="1" scenarios="1"/>
  <sortState xmlns:xlrd2="http://schemas.microsoft.com/office/spreadsheetml/2017/richdata2" ref="A4:B13">
    <sortCondition ref="A4"/>
  </sortState>
  <mergeCells count="3">
    <mergeCell ref="A20:B20"/>
    <mergeCell ref="A2:I2"/>
    <mergeCell ref="A1:I1"/>
  </mergeCells>
  <phoneticPr fontId="2" type="noConversion"/>
  <pageMargins left="0" right="0" top="0.47244094488188981" bottom="0.51181102362204722" header="0.51181102362204722" footer="0.51181102362204722"/>
  <pageSetup paperSize="9" scale="9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ورقه2"/>
  <dimension ref="A1:H12"/>
  <sheetViews>
    <sheetView rightToLeft="1" topLeftCell="A2" zoomScaleSheetLayoutView="55" workbookViewId="0">
      <selection activeCell="F10" sqref="F10"/>
    </sheetView>
  </sheetViews>
  <sheetFormatPr defaultColWidth="9.109375" defaultRowHeight="21.75" customHeight="1" x14ac:dyDescent="0.75"/>
  <cols>
    <col min="1" max="1" width="15.33203125" style="8" bestFit="1" customWidth="1"/>
    <col min="2" max="2" width="14.5546875" style="8" customWidth="1"/>
    <col min="3" max="3" width="15.88671875" style="8" customWidth="1"/>
    <col min="4" max="4" width="9.109375" style="8" bestFit="1" customWidth="1"/>
    <col min="5" max="5" width="14" style="8" bestFit="1" customWidth="1"/>
    <col min="6" max="6" width="13.88671875" style="8" customWidth="1"/>
    <col min="7" max="7" width="12.5546875" style="8" bestFit="1" customWidth="1"/>
    <col min="8" max="8" width="11.88671875" style="8" bestFit="1" customWidth="1"/>
    <col min="9" max="16384" width="9.109375" style="1"/>
  </cols>
  <sheetData>
    <row r="1" spans="1:8" ht="21.75" hidden="1" customHeight="1" x14ac:dyDescent="0.75">
      <c r="A1" s="112" t="s">
        <v>70</v>
      </c>
      <c r="B1" s="113"/>
      <c r="C1" s="113"/>
      <c r="D1" s="113"/>
      <c r="E1" s="113"/>
      <c r="F1" s="113"/>
      <c r="G1" s="113"/>
      <c r="H1" s="114"/>
    </row>
    <row r="2" spans="1:8" ht="21.75" customHeight="1" thickBot="1" x14ac:dyDescent="0.8">
      <c r="A2" s="117" t="str">
        <f>'اطلاعات پايه'!I1</f>
        <v>اردیبهشت 1401</v>
      </c>
      <c r="B2" s="118"/>
      <c r="C2" s="118"/>
      <c r="D2" s="118"/>
      <c r="E2" s="118"/>
      <c r="F2" s="118"/>
      <c r="G2" s="118"/>
      <c r="H2" s="119"/>
    </row>
    <row r="3" spans="1:8" ht="21.75" customHeight="1" x14ac:dyDescent="0.75">
      <c r="A3" s="115" t="s">
        <v>4</v>
      </c>
      <c r="B3" s="116"/>
      <c r="C3" s="115" t="s">
        <v>5</v>
      </c>
      <c r="D3" s="116"/>
      <c r="E3" s="115" t="s">
        <v>6</v>
      </c>
      <c r="F3" s="116"/>
      <c r="G3" s="115" t="s">
        <v>7</v>
      </c>
      <c r="H3" s="116"/>
    </row>
    <row r="4" spans="1:8" ht="21.75" customHeight="1" x14ac:dyDescent="0.75">
      <c r="A4" s="33" t="s">
        <v>54</v>
      </c>
      <c r="B4" s="34">
        <v>1</v>
      </c>
      <c r="C4" s="35" t="s">
        <v>56</v>
      </c>
      <c r="D4" s="34">
        <f>VLOOKUP(B$4,'محاسبه داخلی'!A$6:Y$13,4)</f>
        <v>31</v>
      </c>
      <c r="E4" s="35" t="s">
        <v>69</v>
      </c>
      <c r="F4" s="34">
        <f>VLOOKUP(B$4,'محاسبه داخلی'!A$6:Y$13,11)</f>
        <v>223200000</v>
      </c>
      <c r="G4" s="35" t="s">
        <v>14</v>
      </c>
      <c r="H4" s="34">
        <f>VLOOKUP(B$4,'محاسبه داخلی'!A$6:Y$13,21)</f>
        <v>18598364</v>
      </c>
    </row>
    <row r="5" spans="1:8" ht="21.75" customHeight="1" x14ac:dyDescent="0.75">
      <c r="A5" s="35" t="s">
        <v>2</v>
      </c>
      <c r="B5" s="34" t="str">
        <f>VLOOKUP(B$4,'محاسبه داخلی'!A$6:Y$13,2)</f>
        <v>A</v>
      </c>
      <c r="C5" s="35" t="s">
        <v>55</v>
      </c>
      <c r="D5" s="36">
        <f>VLOOKUP(B$4,'محاسبه داخلی'!A$6:Y$13,6)</f>
        <v>20</v>
      </c>
      <c r="E5" s="35" t="s">
        <v>12</v>
      </c>
      <c r="F5" s="34">
        <f>VLOOKUP(B$4,'محاسبه داخلی'!A$6:Y$13,17)</f>
        <v>27490909</v>
      </c>
      <c r="G5" s="35" t="s">
        <v>15</v>
      </c>
      <c r="H5" s="34">
        <f>VLOOKUP(B$4,'محاسبه داخلی'!A$6:Y$13,22)</f>
        <v>21713881.75</v>
      </c>
    </row>
    <row r="6" spans="1:8" ht="21.75" customHeight="1" x14ac:dyDescent="0.75">
      <c r="A6" s="35" t="s">
        <v>8</v>
      </c>
      <c r="B6" s="34">
        <f>VLOOKUP(B$4,'محاسبه داخلی'!A$6:Y$13,10)</f>
        <v>7200000</v>
      </c>
      <c r="C6" s="35" t="s">
        <v>57</v>
      </c>
      <c r="D6" s="34">
        <f>VLOOKUP(B$4,'محاسبه داخلی'!A$6:Y$13,8)</f>
        <v>2</v>
      </c>
      <c r="E6" s="35" t="s">
        <v>13</v>
      </c>
      <c r="F6" s="34">
        <f>VLOOKUP(B$4,'محاسبه داخلی'!A$6:Y$13,14)</f>
        <v>14400000</v>
      </c>
      <c r="G6" s="35" t="s">
        <v>31</v>
      </c>
      <c r="H6" s="34">
        <f>VLOOKUP(B$4,'محاسبه داخلی'!A$6:Y$13,23)</f>
        <v>0</v>
      </c>
    </row>
    <row r="7" spans="1:8" ht="21.75" customHeight="1" x14ac:dyDescent="0.75">
      <c r="A7" s="35" t="s">
        <v>9</v>
      </c>
      <c r="B7" s="34">
        <f>VLOOKUP(B$4,'محاسبه داخلی'!A$6:Y$13,9)</f>
        <v>1374545.4545454546</v>
      </c>
      <c r="C7" s="35" t="s">
        <v>65</v>
      </c>
      <c r="D7" s="34">
        <f>VLOOKUP(B$4,'محاسبه داخلی'!A$6:Y$13,7)</f>
        <v>0</v>
      </c>
      <c r="E7" s="35" t="s">
        <v>10</v>
      </c>
      <c r="F7" s="34">
        <f>VLOOKUP(B$4,'محاسبه داخلی'!A$6:Y$13,16)</f>
        <v>6500000</v>
      </c>
      <c r="G7" s="35" t="s">
        <v>74</v>
      </c>
      <c r="H7" s="34">
        <f>VLOOKUP(B$4,'محاسبه داخلی'!A$6:Y$13,24)</f>
        <v>0</v>
      </c>
    </row>
    <row r="8" spans="1:8" ht="21.75" customHeight="1" x14ac:dyDescent="0.75">
      <c r="A8" s="33"/>
      <c r="B8" s="34"/>
      <c r="C8" s="35" t="s">
        <v>72</v>
      </c>
      <c r="D8" s="34">
        <f>VLOOKUP(B4,'اطلاعات پايه'!A2:W10,8,FALSE)</f>
        <v>0</v>
      </c>
      <c r="E8" s="35" t="s">
        <v>11</v>
      </c>
      <c r="F8" s="34">
        <f>VLOOKUP(B$4,'محاسبه داخلی'!A$6:Y$13,15)</f>
        <v>8359500</v>
      </c>
      <c r="G8" s="35"/>
      <c r="H8" s="34"/>
    </row>
    <row r="9" spans="1:8" ht="21.75" customHeight="1" x14ac:dyDescent="0.75">
      <c r="A9" s="35"/>
      <c r="B9" s="34"/>
      <c r="C9" s="35"/>
      <c r="D9" s="34"/>
      <c r="E9" s="35" t="s">
        <v>65</v>
      </c>
      <c r="F9" s="34">
        <f>VLOOKUP(B$4,'محاسبه داخلی'!A$6:Y$13,18)</f>
        <v>0</v>
      </c>
      <c r="G9" s="35"/>
      <c r="H9" s="34"/>
    </row>
    <row r="10" spans="1:8" ht="21.75" customHeight="1" x14ac:dyDescent="0.75">
      <c r="A10" s="35"/>
      <c r="B10" s="34"/>
      <c r="C10" s="35"/>
      <c r="D10" s="34"/>
      <c r="E10" s="35" t="s">
        <v>44</v>
      </c>
      <c r="F10" s="34">
        <f>VLOOKUP(B$4,'محاسبه داخلی'!A$6:Y$13,19)</f>
        <v>8500000</v>
      </c>
      <c r="G10" s="35"/>
      <c r="H10" s="34"/>
    </row>
    <row r="11" spans="1:8" ht="21.75" customHeight="1" x14ac:dyDescent="0.75">
      <c r="A11" s="35"/>
      <c r="B11" s="34"/>
      <c r="C11" s="35"/>
      <c r="D11" s="34"/>
      <c r="E11" s="35" t="s">
        <v>76</v>
      </c>
      <c r="F11" s="34">
        <f>VLOOKUP(B$4,'محاسبه داخلی'!A$6:Y$13,12)</f>
        <v>0</v>
      </c>
      <c r="G11" s="35"/>
      <c r="H11" s="34"/>
    </row>
    <row r="12" spans="1:8" s="2" customFormat="1" ht="21.75" customHeight="1" thickBot="1" x14ac:dyDescent="0.7">
      <c r="A12" s="37" t="s">
        <v>18</v>
      </c>
      <c r="B12" s="38">
        <f>F12-H12</f>
        <v>248138163.25</v>
      </c>
      <c r="C12" s="39"/>
      <c r="D12" s="40"/>
      <c r="E12" s="39" t="s">
        <v>16</v>
      </c>
      <c r="F12" s="41">
        <f>SUM(F4:F11)</f>
        <v>288450409</v>
      </c>
      <c r="G12" s="39" t="s">
        <v>17</v>
      </c>
      <c r="H12" s="41">
        <f>SUM(H4:H11)</f>
        <v>40312245.75</v>
      </c>
    </row>
  </sheetData>
  <sheetProtection sheet="1" objects="1" scenarios="1"/>
  <mergeCells count="6">
    <mergeCell ref="A1:H1"/>
    <mergeCell ref="A3:B3"/>
    <mergeCell ref="C3:D3"/>
    <mergeCell ref="E3:F3"/>
    <mergeCell ref="G3:H3"/>
    <mergeCell ref="A2:H2"/>
  </mergeCells>
  <phoneticPr fontId="2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اطلاعات پايه</vt:lpstr>
      <vt:lpstr>جدول مالیات</vt:lpstr>
      <vt:lpstr>محاسبه داخلی</vt:lpstr>
      <vt:lpstr>ليست بيمه </vt:lpstr>
      <vt:lpstr>فيش حقوق</vt:lpstr>
      <vt:lpstr>'اطلاعات پايه'!Print_Area</vt:lpstr>
      <vt:lpstr>'فيش حقوق'!Print_Area</vt:lpstr>
      <vt:lpstr>'محاسبه داخلی'!Print_Area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</dc:creator>
  <cp:lastModifiedBy>acer</cp:lastModifiedBy>
  <cp:lastPrinted>2022-04-25T12:41:28Z</cp:lastPrinted>
  <dcterms:created xsi:type="dcterms:W3CDTF">2007-01-07T04:57:56Z</dcterms:created>
  <dcterms:modified xsi:type="dcterms:W3CDTF">2022-11-11T07:04:30Z</dcterms:modified>
</cp:coreProperties>
</file>